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16605" windowHeight="9435"/>
  </bookViews>
  <sheets>
    <sheet name="BIEU TH" sheetId="13" r:id="rId1"/>
    <sheet name="BIEU CHI TIET - STC" sheetId="14" state="hidden" r:id="rId2"/>
    <sheet name="BIEU CHI TIET" sheetId="1" r:id="rId3"/>
    <sheet name="Vốn SN (mang tính chât đầu tư)" sheetId="15" r:id="rId4"/>
    <sheet name="CHI TIET (2)" sheetId="11" state="hidden" r:id="rId5"/>
  </sheets>
  <externalReferences>
    <externalReference r:id="rId6"/>
    <externalReference r:id="rId7"/>
  </externalReferences>
  <definedNames>
    <definedName name="_xlnm.Print_Area" localSheetId="2">'BIEU CHI TIET'!$A$1:$N$95</definedName>
    <definedName name="_xlnm.Print_Area" localSheetId="1">'BIEU CHI TIET - STC'!$A$1:$S$97</definedName>
    <definedName name="_xlnm.Print_Area" localSheetId="0">'BIEU TH'!$A$1:$L$20</definedName>
    <definedName name="_xlnm.Print_Titles" localSheetId="2">'BIEU CHI TIET'!$5:$7</definedName>
  </definedNames>
  <calcPr calcId="144525"/>
</workbook>
</file>

<file path=xl/calcChain.xml><?xml version="1.0" encoding="utf-8"?>
<calcChain xmlns="http://schemas.openxmlformats.org/spreadsheetml/2006/main">
  <c r="Q91" i="1" l="1"/>
  <c r="G17" i="1"/>
  <c r="I7" i="13"/>
  <c r="H7" i="13"/>
  <c r="C7" i="13"/>
  <c r="K9" i="13"/>
  <c r="I9" i="13"/>
  <c r="J21" i="13"/>
  <c r="J9" i="13" s="1"/>
  <c r="H21" i="13"/>
  <c r="H9" i="13" s="1"/>
  <c r="C9" i="13" l="1"/>
  <c r="F23" i="13"/>
  <c r="E23" i="13"/>
  <c r="D23" i="13" s="1"/>
  <c r="G23" i="13" s="1"/>
  <c r="F22" i="13"/>
  <c r="E22" i="13"/>
  <c r="C21" i="13"/>
  <c r="I22" i="13"/>
  <c r="K22" i="13"/>
  <c r="I23" i="13"/>
  <c r="K23" i="13"/>
  <c r="J20" i="15"/>
  <c r="H20" i="15"/>
  <c r="D20" i="15"/>
  <c r="J19" i="15"/>
  <c r="H19" i="15"/>
  <c r="E19" i="15"/>
  <c r="D19" i="15" s="1"/>
  <c r="D17" i="15" s="1"/>
  <c r="J17" i="15"/>
  <c r="K17" i="15" s="1"/>
  <c r="H17" i="15"/>
  <c r="F17" i="15"/>
  <c r="E17" i="15"/>
  <c r="C17" i="15"/>
  <c r="I17" i="15" s="1"/>
  <c r="J16" i="15"/>
  <c r="H16" i="15"/>
  <c r="E16" i="15"/>
  <c r="D16" i="15"/>
  <c r="J15" i="15"/>
  <c r="H15" i="15"/>
  <c r="D15" i="15"/>
  <c r="J14" i="15"/>
  <c r="J9" i="15" s="1"/>
  <c r="H14" i="15"/>
  <c r="D14" i="15"/>
  <c r="J13" i="15"/>
  <c r="H13" i="15"/>
  <c r="E13" i="15"/>
  <c r="D13" i="15"/>
  <c r="J11" i="15"/>
  <c r="D11" i="15"/>
  <c r="H9" i="15"/>
  <c r="I9" i="15" s="1"/>
  <c r="F9" i="15"/>
  <c r="E9" i="15"/>
  <c r="D9" i="15"/>
  <c r="G9" i="15" s="1"/>
  <c r="C9" i="15"/>
  <c r="C8" i="15" s="1"/>
  <c r="C7" i="15" s="1"/>
  <c r="F8" i="15"/>
  <c r="E8" i="15"/>
  <c r="F7" i="15"/>
  <c r="E7" i="15"/>
  <c r="D22" i="13" l="1"/>
  <c r="G22" i="13" s="1"/>
  <c r="I21" i="13"/>
  <c r="K21" i="13"/>
  <c r="D21" i="13"/>
  <c r="F21" i="13"/>
  <c r="F9" i="13" s="1"/>
  <c r="E21" i="13"/>
  <c r="E9" i="13" s="1"/>
  <c r="G17" i="15"/>
  <c r="D8" i="15"/>
  <c r="J8" i="15"/>
  <c r="K9" i="15"/>
  <c r="H8" i="15"/>
  <c r="G21" i="13" l="1"/>
  <c r="D9" i="13"/>
  <c r="G9" i="13" s="1"/>
  <c r="I8" i="15"/>
  <c r="H7" i="15"/>
  <c r="I7" i="15" s="1"/>
  <c r="K8" i="15"/>
  <c r="J7" i="15"/>
  <c r="K7" i="15" s="1"/>
  <c r="D7" i="15"/>
  <c r="G7" i="15" s="1"/>
  <c r="G8" i="15"/>
  <c r="M82" i="14" l="1"/>
  <c r="L82" i="14"/>
  <c r="G54" i="1"/>
  <c r="F54" i="1"/>
  <c r="E54" i="1"/>
  <c r="E56" i="1"/>
  <c r="F56" i="1"/>
  <c r="G56" i="1"/>
  <c r="O68" i="14" l="1"/>
  <c r="O67" i="14"/>
  <c r="O66" i="14"/>
  <c r="O65" i="14"/>
  <c r="O64" i="14"/>
  <c r="O63" i="14"/>
  <c r="O62" i="14"/>
  <c r="O61" i="14"/>
  <c r="O60" i="14"/>
  <c r="O59" i="14"/>
  <c r="O58" i="14"/>
  <c r="O42" i="14"/>
  <c r="O41" i="14" s="1"/>
  <c r="O52" i="14"/>
  <c r="O51" i="14"/>
  <c r="O50" i="14"/>
  <c r="O49" i="14"/>
  <c r="O48" i="14"/>
  <c r="O47" i="14"/>
  <c r="O46" i="14"/>
  <c r="Q52" i="14"/>
  <c r="Q51" i="14" s="1"/>
  <c r="Q50" i="14"/>
  <c r="Q49" i="14" s="1"/>
  <c r="Q48" i="14"/>
  <c r="Q47" i="14" s="1"/>
  <c r="J15" i="13"/>
  <c r="K36" i="1"/>
  <c r="K33" i="1"/>
  <c r="K20" i="1"/>
  <c r="G75" i="1"/>
  <c r="G15" i="1"/>
  <c r="F15" i="1"/>
  <c r="K32" i="1" l="1"/>
  <c r="K19" i="1" l="1"/>
  <c r="J19" i="1"/>
  <c r="I19" i="1"/>
  <c r="D19" i="1"/>
  <c r="F20" i="1"/>
  <c r="F19" i="1" s="1"/>
  <c r="G20" i="1"/>
  <c r="G19" i="1" s="1"/>
  <c r="D20" i="1"/>
  <c r="C20" i="13"/>
  <c r="C15" i="13"/>
  <c r="Q76" i="14"/>
  <c r="Q56" i="14"/>
  <c r="Q55" i="14" s="1"/>
  <c r="Q58" i="14"/>
  <c r="Q41" i="14"/>
  <c r="F38" i="14"/>
  <c r="F34" i="14" s="1"/>
  <c r="F33" i="14" s="1"/>
  <c r="F20" i="14" s="1"/>
  <c r="F21" i="14"/>
  <c r="Q22" i="14"/>
  <c r="F22" i="14"/>
  <c r="C22" i="14"/>
  <c r="F53" i="1"/>
  <c r="G53" i="1"/>
  <c r="I37" i="1"/>
  <c r="I36" i="1" s="1"/>
  <c r="D37" i="1"/>
  <c r="F39" i="1"/>
  <c r="G39" i="1"/>
  <c r="I39" i="1"/>
  <c r="J39" i="1"/>
  <c r="M81" i="14"/>
  <c r="L81" i="14"/>
  <c r="C85" i="14"/>
  <c r="C82" i="14"/>
  <c r="C73" i="14"/>
  <c r="C74" i="14"/>
  <c r="C77" i="14"/>
  <c r="C78" i="14"/>
  <c r="L75" i="14"/>
  <c r="M75" i="14"/>
  <c r="K75" i="14" s="1"/>
  <c r="L76" i="14"/>
  <c r="M76" i="14"/>
  <c r="C75" i="14"/>
  <c r="C76" i="14"/>
  <c r="L67" i="14"/>
  <c r="M68" i="14"/>
  <c r="K68" i="14" s="1"/>
  <c r="K67" i="14" s="1"/>
  <c r="L68" i="14"/>
  <c r="L60" i="14"/>
  <c r="K60" i="14" s="1"/>
  <c r="M60" i="14"/>
  <c r="L61" i="14"/>
  <c r="K61" i="14" s="1"/>
  <c r="M61" i="14"/>
  <c r="L62" i="14"/>
  <c r="M62" i="14"/>
  <c r="L63" i="14"/>
  <c r="K63" i="14" s="1"/>
  <c r="M63" i="14"/>
  <c r="L64" i="14"/>
  <c r="K64" i="14" s="1"/>
  <c r="M64" i="14"/>
  <c r="L65" i="14"/>
  <c r="M65" i="14"/>
  <c r="L66" i="14"/>
  <c r="M66" i="14"/>
  <c r="M59" i="14"/>
  <c r="L59" i="14"/>
  <c r="F67" i="14"/>
  <c r="F58" i="14"/>
  <c r="F56" i="14" s="1"/>
  <c r="C66" i="14"/>
  <c r="C65" i="14"/>
  <c r="C64" i="14"/>
  <c r="C63" i="14"/>
  <c r="C62" i="14"/>
  <c r="C61" i="14"/>
  <c r="C60" i="14"/>
  <c r="C59" i="14"/>
  <c r="C68" i="14"/>
  <c r="C67" i="14" s="1"/>
  <c r="M52" i="14"/>
  <c r="L52" i="14"/>
  <c r="L51" i="14" s="1"/>
  <c r="M50" i="14"/>
  <c r="M49" i="14" s="1"/>
  <c r="L50" i="14"/>
  <c r="L49" i="14" s="1"/>
  <c r="M48" i="14"/>
  <c r="M47" i="14" s="1"/>
  <c r="L48" i="14"/>
  <c r="L47" i="14" s="1"/>
  <c r="M46" i="14"/>
  <c r="L46" i="14"/>
  <c r="C48" i="14"/>
  <c r="C50" i="14"/>
  <c r="C52" i="14"/>
  <c r="F51" i="14"/>
  <c r="C51" i="14" s="1"/>
  <c r="F49" i="14"/>
  <c r="C49" i="14" s="1"/>
  <c r="F47" i="14"/>
  <c r="C47" i="14" s="1"/>
  <c r="F44" i="14"/>
  <c r="C46" i="14"/>
  <c r="C45" i="14"/>
  <c r="M37" i="14"/>
  <c r="L37" i="14"/>
  <c r="M42" i="14"/>
  <c r="M41" i="14" s="1"/>
  <c r="L42" i="14"/>
  <c r="L41" i="14" s="1"/>
  <c r="M40" i="14"/>
  <c r="F41" i="14"/>
  <c r="C42" i="14"/>
  <c r="C41" i="14" s="1"/>
  <c r="F36" i="14"/>
  <c r="C37" i="14"/>
  <c r="C36" i="14" s="1"/>
  <c r="K59" i="14" l="1"/>
  <c r="K76" i="14"/>
  <c r="F43" i="14"/>
  <c r="L58" i="14"/>
  <c r="L56" i="14" s="1"/>
  <c r="L55" i="14" s="1"/>
  <c r="K66" i="14"/>
  <c r="K62" i="14"/>
  <c r="M67" i="14"/>
  <c r="M58" i="14"/>
  <c r="M56" i="14" s="1"/>
  <c r="M55" i="14" s="1"/>
  <c r="K65" i="14"/>
  <c r="C58" i="14"/>
  <c r="C56" i="14" s="1"/>
  <c r="C55" i="14" s="1"/>
  <c r="F55" i="14"/>
  <c r="C44" i="14"/>
  <c r="C43" i="14" s="1"/>
  <c r="K52" i="14"/>
  <c r="K51" i="14" s="1"/>
  <c r="K37" i="14"/>
  <c r="M51" i="14"/>
  <c r="K50" i="14"/>
  <c r="K49" i="14" s="1"/>
  <c r="K48" i="14"/>
  <c r="K47" i="14" s="1"/>
  <c r="K46" i="14"/>
  <c r="K42" i="14"/>
  <c r="K41" i="14" s="1"/>
  <c r="K58" i="14" l="1"/>
  <c r="K56" i="14" s="1"/>
  <c r="K55" i="14" s="1"/>
  <c r="I76" i="1"/>
  <c r="I65" i="1"/>
  <c r="G87" i="1"/>
  <c r="F87" i="1"/>
  <c r="F42" i="1"/>
  <c r="G42" i="1"/>
  <c r="H42" i="1"/>
  <c r="J42" i="1"/>
  <c r="J41" i="1" s="1"/>
  <c r="H53" i="1"/>
  <c r="J53" i="1"/>
  <c r="K55" i="1"/>
  <c r="I56" i="1"/>
  <c r="I54" i="1" s="1"/>
  <c r="F34" i="1"/>
  <c r="F33" i="1" s="1"/>
  <c r="G34" i="1"/>
  <c r="H34" i="1"/>
  <c r="I34" i="1"/>
  <c r="I33" i="1" s="1"/>
  <c r="J34" i="1"/>
  <c r="J33" i="1" s="1"/>
  <c r="K35" i="1"/>
  <c r="K34" i="1" s="1"/>
  <c r="E35" i="1"/>
  <c r="E34" i="1" s="1"/>
  <c r="E33" i="1" s="1"/>
  <c r="K40" i="1"/>
  <c r="K39" i="1" s="1"/>
  <c r="E40" i="1"/>
  <c r="E39" i="1" s="1"/>
  <c r="K72" i="1"/>
  <c r="K73" i="1"/>
  <c r="K74" i="1"/>
  <c r="K75" i="1"/>
  <c r="K76" i="1"/>
  <c r="E74" i="1"/>
  <c r="E73" i="1"/>
  <c r="F45" i="1"/>
  <c r="G45" i="1"/>
  <c r="H45" i="1"/>
  <c r="I45" i="1"/>
  <c r="J45" i="1"/>
  <c r="F47" i="1"/>
  <c r="G47" i="1"/>
  <c r="H47" i="1"/>
  <c r="I47" i="1"/>
  <c r="J47" i="1"/>
  <c r="F49" i="1"/>
  <c r="G49" i="1"/>
  <c r="H49" i="1"/>
  <c r="I49" i="1"/>
  <c r="J49" i="1"/>
  <c r="K50" i="1"/>
  <c r="K49" i="1" s="1"/>
  <c r="E50" i="1"/>
  <c r="E49" i="1" s="1"/>
  <c r="K48" i="1"/>
  <c r="K47" i="1" s="1"/>
  <c r="E48" i="1"/>
  <c r="E47" i="1" s="1"/>
  <c r="K46" i="1"/>
  <c r="K45" i="1" s="1"/>
  <c r="E46" i="1"/>
  <c r="E45" i="1" s="1"/>
  <c r="K44" i="1"/>
  <c r="E44" i="1"/>
  <c r="E57" i="1"/>
  <c r="K57" i="1"/>
  <c r="E58" i="1"/>
  <c r="K58" i="1"/>
  <c r="E59" i="1"/>
  <c r="K59" i="1"/>
  <c r="E60" i="1"/>
  <c r="K60" i="1"/>
  <c r="E61" i="1"/>
  <c r="K61" i="1"/>
  <c r="E62" i="1"/>
  <c r="K62" i="1"/>
  <c r="E63" i="1"/>
  <c r="K63" i="1"/>
  <c r="E64" i="1"/>
  <c r="K64" i="1"/>
  <c r="E66" i="1"/>
  <c r="K66" i="1"/>
  <c r="D65" i="1"/>
  <c r="D56" i="1"/>
  <c r="D54" i="1" s="1"/>
  <c r="D53" i="1" s="1"/>
  <c r="D49" i="1"/>
  <c r="D47" i="1"/>
  <c r="D45" i="1"/>
  <c r="D42" i="1"/>
  <c r="D39" i="1"/>
  <c r="D36" i="1" s="1"/>
  <c r="G33" i="1"/>
  <c r="H33" i="1"/>
  <c r="D34" i="1"/>
  <c r="D33" i="1" s="1"/>
  <c r="I53" i="1" l="1"/>
  <c r="K56" i="1"/>
  <c r="H41" i="1"/>
  <c r="K54" i="1"/>
  <c r="G41" i="1"/>
  <c r="F41" i="1"/>
  <c r="D41" i="1"/>
  <c r="Q94" i="14" l="1"/>
  <c r="O26" i="14"/>
  <c r="O25" i="14"/>
  <c r="L95" i="14" l="1"/>
  <c r="M95" i="14"/>
  <c r="L96" i="14"/>
  <c r="M96" i="14"/>
  <c r="M94" i="14"/>
  <c r="L94" i="14"/>
  <c r="M92" i="14"/>
  <c r="M91" i="14" s="1"/>
  <c r="L92" i="14"/>
  <c r="L91" i="14" s="1"/>
  <c r="L90" i="14"/>
  <c r="M90" i="14"/>
  <c r="M89" i="14"/>
  <c r="L89" i="14"/>
  <c r="L86" i="14"/>
  <c r="M86" i="14"/>
  <c r="L87" i="14"/>
  <c r="M87" i="14"/>
  <c r="M85" i="14"/>
  <c r="L85" i="14"/>
  <c r="L80" i="14"/>
  <c r="K80" i="14" s="1"/>
  <c r="L74" i="14"/>
  <c r="M74" i="14"/>
  <c r="L77" i="14"/>
  <c r="M77" i="14"/>
  <c r="L78" i="14"/>
  <c r="M78" i="14"/>
  <c r="Q72" i="14" s="1"/>
  <c r="M73" i="14"/>
  <c r="L73" i="14"/>
  <c r="M70" i="14"/>
  <c r="M69" i="14" s="1"/>
  <c r="L70" i="14"/>
  <c r="L69" i="14" s="1"/>
  <c r="M45" i="14"/>
  <c r="L45" i="14"/>
  <c r="L40" i="14"/>
  <c r="L39" i="14" s="1"/>
  <c r="L38" i="14" s="1"/>
  <c r="L29" i="14"/>
  <c r="M29" i="14"/>
  <c r="L30" i="14"/>
  <c r="M30" i="14"/>
  <c r="L31" i="14"/>
  <c r="M31" i="14"/>
  <c r="L32" i="14"/>
  <c r="M32" i="14"/>
  <c r="M28" i="14"/>
  <c r="Q28" i="14" s="1"/>
  <c r="L28" i="14"/>
  <c r="L26" i="14"/>
  <c r="M26" i="14"/>
  <c r="M25" i="14"/>
  <c r="L25" i="14"/>
  <c r="L24" i="14"/>
  <c r="M24" i="14"/>
  <c r="M23" i="14"/>
  <c r="L23" i="14"/>
  <c r="L17" i="14"/>
  <c r="M17" i="14"/>
  <c r="L18" i="14"/>
  <c r="M18" i="14"/>
  <c r="L19" i="14"/>
  <c r="M19" i="14"/>
  <c r="M16" i="14"/>
  <c r="L16" i="14"/>
  <c r="L14" i="14"/>
  <c r="M14" i="14"/>
  <c r="M13" i="14"/>
  <c r="L13" i="14"/>
  <c r="Q93" i="14"/>
  <c r="P93" i="14"/>
  <c r="F93" i="14"/>
  <c r="C93" i="14"/>
  <c r="O94" i="14"/>
  <c r="O95" i="14"/>
  <c r="O96" i="14"/>
  <c r="O92" i="14"/>
  <c r="O91" i="14" s="1"/>
  <c r="C92" i="14"/>
  <c r="C91" i="14" s="1"/>
  <c r="Q91" i="14"/>
  <c r="F91" i="14"/>
  <c r="O90" i="14"/>
  <c r="O89" i="14"/>
  <c r="C89" i="14"/>
  <c r="Q88" i="14"/>
  <c r="F88" i="14"/>
  <c r="O87" i="14"/>
  <c r="C87" i="14"/>
  <c r="O86" i="14"/>
  <c r="C86" i="14"/>
  <c r="O85" i="14"/>
  <c r="Q84" i="14"/>
  <c r="F84" i="14"/>
  <c r="O82" i="14"/>
  <c r="K82" i="14"/>
  <c r="O81" i="14"/>
  <c r="K81" i="14"/>
  <c r="C81" i="14"/>
  <c r="O80" i="14"/>
  <c r="Q79" i="14"/>
  <c r="M79" i="14"/>
  <c r="F79" i="14"/>
  <c r="O77" i="14"/>
  <c r="F72" i="14"/>
  <c r="O74" i="14"/>
  <c r="O73" i="14"/>
  <c r="O70" i="14"/>
  <c r="O69" i="14" s="1"/>
  <c r="Q69" i="14"/>
  <c r="F69" i="14"/>
  <c r="C69" i="14"/>
  <c r="C54" i="14" s="1"/>
  <c r="O56" i="14"/>
  <c r="O45" i="14"/>
  <c r="O44" i="14" s="1"/>
  <c r="O43" i="14" s="1"/>
  <c r="Q44" i="14"/>
  <c r="Q43" i="14" s="1"/>
  <c r="O40" i="14"/>
  <c r="O39" i="14" s="1"/>
  <c r="O38" i="14" s="1"/>
  <c r="C40" i="14"/>
  <c r="C39" i="14" s="1"/>
  <c r="C38" i="14" s="1"/>
  <c r="Q39" i="14"/>
  <c r="Q38" i="14" s="1"/>
  <c r="Q34" i="14" s="1"/>
  <c r="M39" i="14"/>
  <c r="M38" i="14" s="1"/>
  <c r="F39" i="14"/>
  <c r="O36" i="14"/>
  <c r="C35" i="14"/>
  <c r="Q35" i="14"/>
  <c r="F35" i="14"/>
  <c r="O32" i="14"/>
  <c r="C32" i="14"/>
  <c r="O31" i="14"/>
  <c r="C31" i="14"/>
  <c r="O30" i="14"/>
  <c r="C30" i="14"/>
  <c r="O29" i="14"/>
  <c r="C29" i="14"/>
  <c r="O28" i="14"/>
  <c r="C28" i="14"/>
  <c r="F27" i="14"/>
  <c r="C26" i="14"/>
  <c r="C25" i="14"/>
  <c r="O24" i="14"/>
  <c r="C24" i="14"/>
  <c r="O23" i="14"/>
  <c r="C23" i="14"/>
  <c r="O19" i="14"/>
  <c r="C19" i="14"/>
  <c r="O18" i="14"/>
  <c r="C18" i="14"/>
  <c r="O17" i="14"/>
  <c r="C17" i="14"/>
  <c r="O16" i="14"/>
  <c r="C16" i="14"/>
  <c r="Q15" i="14"/>
  <c r="F15" i="14"/>
  <c r="O14" i="14"/>
  <c r="C14" i="14"/>
  <c r="O13" i="14"/>
  <c r="C13" i="14"/>
  <c r="Q12" i="14"/>
  <c r="F12" i="14"/>
  <c r="K87" i="14" l="1"/>
  <c r="L22" i="14"/>
  <c r="M22" i="14"/>
  <c r="K78" i="14"/>
  <c r="O22" i="14"/>
  <c r="L44" i="14"/>
  <c r="L43" i="14" s="1"/>
  <c r="L34" i="14" s="1"/>
  <c r="M44" i="14"/>
  <c r="M43" i="14" s="1"/>
  <c r="M34" i="14" s="1"/>
  <c r="K13" i="14"/>
  <c r="K18" i="14"/>
  <c r="K94" i="14"/>
  <c r="F83" i="14"/>
  <c r="O35" i="14"/>
  <c r="O34" i="14" s="1"/>
  <c r="M36" i="14"/>
  <c r="Q54" i="14"/>
  <c r="C27" i="14"/>
  <c r="O88" i="14"/>
  <c r="O93" i="14"/>
  <c r="M54" i="14"/>
  <c r="O55" i="14"/>
  <c r="O54" i="14" s="1"/>
  <c r="Q71" i="14"/>
  <c r="K32" i="14"/>
  <c r="K17" i="14"/>
  <c r="K26" i="14"/>
  <c r="K73" i="14"/>
  <c r="K96" i="14"/>
  <c r="K28" i="14"/>
  <c r="K77" i="14"/>
  <c r="K30" i="14"/>
  <c r="K92" i="14"/>
  <c r="K91" i="14" s="1"/>
  <c r="K19" i="14"/>
  <c r="K31" i="14"/>
  <c r="L27" i="14"/>
  <c r="K90" i="14"/>
  <c r="K24" i="14"/>
  <c r="O78" i="14"/>
  <c r="O72" i="14" s="1"/>
  <c r="M72" i="14"/>
  <c r="M71" i="14" s="1"/>
  <c r="K86" i="14"/>
  <c r="K29" i="14"/>
  <c r="M84" i="14"/>
  <c r="M12" i="14"/>
  <c r="L72" i="14"/>
  <c r="M93" i="14"/>
  <c r="F20" i="13" s="1"/>
  <c r="M15" i="14"/>
  <c r="Q11" i="14"/>
  <c r="L84" i="14"/>
  <c r="K95" i="14"/>
  <c r="L93" i="14"/>
  <c r="E20" i="13" s="1"/>
  <c r="L88" i="14"/>
  <c r="M88" i="14"/>
  <c r="K89" i="14"/>
  <c r="K85" i="14"/>
  <c r="L79" i="14"/>
  <c r="K74" i="14"/>
  <c r="K70" i="14"/>
  <c r="K69" i="14" s="1"/>
  <c r="K45" i="14"/>
  <c r="K40" i="14"/>
  <c r="K39" i="14" s="1"/>
  <c r="K38" i="14" s="1"/>
  <c r="M27" i="14"/>
  <c r="K25" i="14"/>
  <c r="K23" i="14"/>
  <c r="L15" i="14"/>
  <c r="K16" i="14"/>
  <c r="L12" i="14"/>
  <c r="K14" i="14"/>
  <c r="O79" i="14"/>
  <c r="Q83" i="14"/>
  <c r="C15" i="14"/>
  <c r="O12" i="14"/>
  <c r="C34" i="14"/>
  <c r="C79" i="14"/>
  <c r="C12" i="14"/>
  <c r="C88" i="14"/>
  <c r="O27" i="14"/>
  <c r="F54" i="14"/>
  <c r="C84" i="14"/>
  <c r="F71" i="14"/>
  <c r="F11" i="14"/>
  <c r="O15" i="14"/>
  <c r="L54" i="14"/>
  <c r="O84" i="14"/>
  <c r="C72" i="14"/>
  <c r="K79" i="14"/>
  <c r="Q27" i="14"/>
  <c r="Q21" i="14" s="1"/>
  <c r="D20" i="13" l="1"/>
  <c r="O21" i="14"/>
  <c r="K22" i="14"/>
  <c r="K21" i="14" s="1"/>
  <c r="F15" i="13"/>
  <c r="M21" i="14"/>
  <c r="E15" i="13"/>
  <c r="L21" i="14"/>
  <c r="C21" i="14"/>
  <c r="R22" i="14"/>
  <c r="O83" i="14"/>
  <c r="C71" i="14"/>
  <c r="Q53" i="14"/>
  <c r="K44" i="14"/>
  <c r="K43" i="14" s="1"/>
  <c r="K34" i="14" s="1"/>
  <c r="K12" i="14"/>
  <c r="N12" i="14" s="1"/>
  <c r="C11" i="14"/>
  <c r="L36" i="14"/>
  <c r="M35" i="14"/>
  <c r="O71" i="14"/>
  <c r="O53" i="14" s="1"/>
  <c r="C83" i="14"/>
  <c r="K93" i="14"/>
  <c r="K27" i="14"/>
  <c r="N27" i="14" s="1"/>
  <c r="K72" i="14"/>
  <c r="K71" i="14" s="1"/>
  <c r="K15" i="14"/>
  <c r="N15" i="14" s="1"/>
  <c r="M83" i="14"/>
  <c r="M53" i="14" s="1"/>
  <c r="M33" i="14" s="1"/>
  <c r="L83" i="14"/>
  <c r="L71" i="14"/>
  <c r="K88" i="14"/>
  <c r="K84" i="14"/>
  <c r="M11" i="14"/>
  <c r="K54" i="14"/>
  <c r="L11" i="14"/>
  <c r="O11" i="14"/>
  <c r="F53" i="14"/>
  <c r="F10" i="14" s="1"/>
  <c r="R12" i="14"/>
  <c r="R15" i="14"/>
  <c r="R27" i="14"/>
  <c r="R34" i="14"/>
  <c r="D15" i="13" l="1"/>
  <c r="M20" i="14"/>
  <c r="M10" i="14" s="1"/>
  <c r="Q33" i="14"/>
  <c r="Q20" i="14" s="1"/>
  <c r="Q10" i="14" s="1"/>
  <c r="C53" i="14"/>
  <c r="R11" i="14"/>
  <c r="K36" i="14"/>
  <c r="K35" i="14" s="1"/>
  <c r="N34" i="14" s="1"/>
  <c r="L35" i="14"/>
  <c r="N21" i="14"/>
  <c r="N22" i="14"/>
  <c r="L53" i="14"/>
  <c r="K83" i="14"/>
  <c r="K53" i="14" s="1"/>
  <c r="K33" i="14" s="1"/>
  <c r="K20" i="14" s="1"/>
  <c r="K11" i="14"/>
  <c r="N11" i="14" s="1"/>
  <c r="O33" i="14"/>
  <c r="O20" i="14" s="1"/>
  <c r="R21" i="14"/>
  <c r="L33" i="14" l="1"/>
  <c r="L20" i="14" s="1"/>
  <c r="L10" i="14" s="1"/>
  <c r="C33" i="14"/>
  <c r="R33" i="14" s="1"/>
  <c r="R53" i="14"/>
  <c r="N53" i="14"/>
  <c r="C20" i="14" l="1"/>
  <c r="C10" i="14" s="1"/>
  <c r="N33" i="14"/>
  <c r="O10" i="14"/>
  <c r="N20" i="14" l="1"/>
  <c r="R10" i="14"/>
  <c r="R20" i="14"/>
  <c r="K10" i="14"/>
  <c r="N10" i="14" s="1"/>
  <c r="C10" i="13" l="1"/>
  <c r="C14" i="13"/>
  <c r="C17" i="13"/>
  <c r="F18" i="13"/>
  <c r="E94" i="1"/>
  <c r="E93" i="1"/>
  <c r="E92" i="1"/>
  <c r="L91" i="1"/>
  <c r="K91" i="1"/>
  <c r="J91" i="1"/>
  <c r="I91" i="1"/>
  <c r="H20" i="13" s="1"/>
  <c r="I20" i="13" s="1"/>
  <c r="H91" i="1"/>
  <c r="G91" i="1"/>
  <c r="F91" i="1"/>
  <c r="D91" i="1"/>
  <c r="J20" i="13"/>
  <c r="K20" i="13" s="1"/>
  <c r="J19" i="13"/>
  <c r="B19" i="13"/>
  <c r="J18" i="13"/>
  <c r="B18" i="13"/>
  <c r="J16" i="13"/>
  <c r="K16" i="13" s="1"/>
  <c r="B15" i="13"/>
  <c r="J12" i="13"/>
  <c r="K12" i="13" s="1"/>
  <c r="B12" i="13"/>
  <c r="J11" i="13"/>
  <c r="B11" i="13"/>
  <c r="E91" i="1" l="1"/>
  <c r="J17" i="13"/>
  <c r="C13" i="13"/>
  <c r="J10" i="13"/>
  <c r="K10" i="13" s="1"/>
  <c r="K11" i="13"/>
  <c r="K18" i="13"/>
  <c r="J14" i="13"/>
  <c r="K15" i="13"/>
  <c r="K19" i="13"/>
  <c r="J8" i="13" l="1"/>
  <c r="J7" i="13" s="1"/>
  <c r="K7" i="13" s="1"/>
  <c r="C8" i="13"/>
  <c r="J13" i="13"/>
  <c r="K13" i="13" s="1"/>
  <c r="G20" i="13"/>
  <c r="K17" i="13"/>
  <c r="K14" i="13"/>
  <c r="K8" i="13" l="1"/>
  <c r="E43" i="1"/>
  <c r="E42" i="1" s="1"/>
  <c r="E41" i="1" s="1"/>
  <c r="K90" i="1" l="1"/>
  <c r="K88" i="1"/>
  <c r="K87" i="1"/>
  <c r="K84" i="1"/>
  <c r="K85" i="1"/>
  <c r="K83" i="1"/>
  <c r="K79" i="1"/>
  <c r="K80" i="1"/>
  <c r="K78" i="1"/>
  <c r="K71" i="1"/>
  <c r="K68" i="1"/>
  <c r="K65" i="1"/>
  <c r="K53" i="1" s="1"/>
  <c r="K43" i="1"/>
  <c r="K38" i="1"/>
  <c r="K27" i="1"/>
  <c r="K28" i="1"/>
  <c r="K29" i="1"/>
  <c r="K30" i="1"/>
  <c r="K26" i="1"/>
  <c r="K24" i="1"/>
  <c r="K23" i="1"/>
  <c r="K22" i="1"/>
  <c r="K21" i="1"/>
  <c r="K15" i="1"/>
  <c r="K16" i="1"/>
  <c r="K17" i="1"/>
  <c r="K14" i="1"/>
  <c r="K12" i="1"/>
  <c r="K11" i="1"/>
  <c r="I89" i="1"/>
  <c r="I86" i="1"/>
  <c r="I82" i="1"/>
  <c r="I77" i="1"/>
  <c r="I70" i="1"/>
  <c r="I67" i="1"/>
  <c r="I52" i="1" s="1"/>
  <c r="I25" i="1"/>
  <c r="H16" i="13" s="1"/>
  <c r="I20" i="1"/>
  <c r="H15" i="13" s="1"/>
  <c r="I13" i="1"/>
  <c r="H12" i="13" s="1"/>
  <c r="I12" i="13" s="1"/>
  <c r="I10" i="1"/>
  <c r="H11" i="13" s="1"/>
  <c r="F13" i="1"/>
  <c r="E12" i="13" s="1"/>
  <c r="G13" i="1"/>
  <c r="F12" i="13" s="1"/>
  <c r="D13" i="1"/>
  <c r="E85" i="1"/>
  <c r="K42" i="1" l="1"/>
  <c r="K41" i="1" s="1"/>
  <c r="I43" i="1"/>
  <c r="I42" i="1" s="1"/>
  <c r="I41" i="1" s="1"/>
  <c r="I32" i="1" s="1"/>
  <c r="I15" i="13"/>
  <c r="I11" i="13"/>
  <c r="H10" i="13"/>
  <c r="I10" i="13" s="1"/>
  <c r="G15" i="13"/>
  <c r="D12" i="13"/>
  <c r="I16" i="13"/>
  <c r="H14" i="13"/>
  <c r="I69" i="1"/>
  <c r="I9" i="1"/>
  <c r="J13" i="1"/>
  <c r="H18" i="13"/>
  <c r="I18" i="13" s="1"/>
  <c r="J20" i="1"/>
  <c r="K13" i="1"/>
  <c r="E75" i="1"/>
  <c r="E22" i="1"/>
  <c r="E17" i="1"/>
  <c r="K37" i="1"/>
  <c r="K89" i="1"/>
  <c r="K86" i="1"/>
  <c r="K82" i="1"/>
  <c r="K77" i="1"/>
  <c r="K67" i="1"/>
  <c r="K25" i="1"/>
  <c r="K10" i="1"/>
  <c r="E80" i="1"/>
  <c r="F10" i="1"/>
  <c r="G10" i="1"/>
  <c r="F11" i="13" s="1"/>
  <c r="D10" i="1"/>
  <c r="E12" i="1"/>
  <c r="E11" i="1"/>
  <c r="D25" i="1"/>
  <c r="G25" i="1"/>
  <c r="F16" i="13" s="1"/>
  <c r="E90" i="1"/>
  <c r="E89" i="1" s="1"/>
  <c r="E88" i="1"/>
  <c r="E87" i="1"/>
  <c r="E84" i="1"/>
  <c r="E83" i="1"/>
  <c r="E79" i="1"/>
  <c r="E78" i="1"/>
  <c r="E72" i="1"/>
  <c r="E68" i="1"/>
  <c r="E67" i="1" s="1"/>
  <c r="E71" i="1"/>
  <c r="E65" i="1"/>
  <c r="E53" i="1"/>
  <c r="E38" i="1"/>
  <c r="E37" i="1" s="1"/>
  <c r="E36" i="1" s="1"/>
  <c r="E32" i="1" s="1"/>
  <c r="E30" i="1"/>
  <c r="E29" i="1"/>
  <c r="E28" i="1"/>
  <c r="E27" i="1"/>
  <c r="E24" i="1"/>
  <c r="E23" i="1"/>
  <c r="E15" i="1"/>
  <c r="E21" i="1"/>
  <c r="E20" i="1" s="1"/>
  <c r="E19" i="1" s="1"/>
  <c r="G89" i="1"/>
  <c r="F89" i="1"/>
  <c r="G86" i="1"/>
  <c r="F86" i="1"/>
  <c r="G82" i="1"/>
  <c r="F82" i="1"/>
  <c r="G77" i="1"/>
  <c r="F77" i="1"/>
  <c r="F70" i="1"/>
  <c r="G67" i="1"/>
  <c r="G52" i="1" s="1"/>
  <c r="F67" i="1"/>
  <c r="F52" i="1" s="1"/>
  <c r="G37" i="1"/>
  <c r="G36" i="1" s="1"/>
  <c r="G32" i="1" s="1"/>
  <c r="F37" i="1"/>
  <c r="F36" i="1" s="1"/>
  <c r="F32" i="1" s="1"/>
  <c r="E18" i="13" s="1"/>
  <c r="D18" i="13" s="1"/>
  <c r="G18" i="13" s="1"/>
  <c r="D89" i="1"/>
  <c r="D86" i="1"/>
  <c r="D82" i="1"/>
  <c r="D77" i="1"/>
  <c r="D67" i="1"/>
  <c r="D21" i="11"/>
  <c r="F13" i="11"/>
  <c r="G13" i="11"/>
  <c r="H13" i="11"/>
  <c r="D13" i="11"/>
  <c r="D8" i="11"/>
  <c r="D9" i="11"/>
  <c r="H17" i="11"/>
  <c r="I17" i="11"/>
  <c r="L23" i="11"/>
  <c r="E23" i="11"/>
  <c r="I23" i="11"/>
  <c r="L22" i="11"/>
  <c r="F22" i="11"/>
  <c r="E22" i="11"/>
  <c r="J21" i="11"/>
  <c r="H21" i="11"/>
  <c r="G21" i="11"/>
  <c r="L20" i="11"/>
  <c r="G20" i="11"/>
  <c r="E20" i="11"/>
  <c r="L19" i="11"/>
  <c r="I19" i="11"/>
  <c r="L18" i="11"/>
  <c r="G18" i="11"/>
  <c r="E18" i="11"/>
  <c r="I18" i="11"/>
  <c r="G17" i="11"/>
  <c r="E17" i="11"/>
  <c r="L16" i="11"/>
  <c r="E16" i="11"/>
  <c r="I16" i="11"/>
  <c r="L15" i="11"/>
  <c r="I15" i="11"/>
  <c r="L14" i="11"/>
  <c r="E14" i="11"/>
  <c r="E13" i="11"/>
  <c r="L12" i="11"/>
  <c r="G12" i="11"/>
  <c r="G9" i="11"/>
  <c r="G8" i="11"/>
  <c r="F12" i="11"/>
  <c r="L11" i="11"/>
  <c r="E11" i="11"/>
  <c r="I11" i="11"/>
  <c r="H10" i="11"/>
  <c r="H9" i="11"/>
  <c r="H8" i="11"/>
  <c r="F10" i="11"/>
  <c r="E10" i="11"/>
  <c r="F21" i="11"/>
  <c r="E12" i="11"/>
  <c r="I12" i="11"/>
  <c r="L21" i="11"/>
  <c r="L17" i="11"/>
  <c r="L10" i="11"/>
  <c r="I20" i="11"/>
  <c r="L9" i="11"/>
  <c r="L13" i="11"/>
  <c r="I10" i="11"/>
  <c r="I9" i="11"/>
  <c r="I8" i="11"/>
  <c r="E9" i="11"/>
  <c r="L8" i="11"/>
  <c r="E21" i="11"/>
  <c r="I22" i="11"/>
  <c r="I21" i="11"/>
  <c r="F9" i="11"/>
  <c r="F8" i="11"/>
  <c r="I14" i="11"/>
  <c r="I13" i="11"/>
  <c r="F25" i="1"/>
  <c r="E16" i="13" s="1"/>
  <c r="E8" i="11"/>
  <c r="E26" i="1"/>
  <c r="E16" i="1"/>
  <c r="E11" i="13" l="1"/>
  <c r="E10" i="13" s="1"/>
  <c r="F10" i="13"/>
  <c r="E52" i="1"/>
  <c r="F14" i="13"/>
  <c r="G12" i="13"/>
  <c r="D16" i="13"/>
  <c r="E14" i="13"/>
  <c r="I14" i="13"/>
  <c r="I51" i="1"/>
  <c r="D70" i="1"/>
  <c r="K70" i="1"/>
  <c r="K69" i="1" s="1"/>
  <c r="D9" i="1"/>
  <c r="J9" i="1" s="1"/>
  <c r="J10" i="1"/>
  <c r="L20" i="1"/>
  <c r="J25" i="1"/>
  <c r="K9" i="1"/>
  <c r="E82" i="1"/>
  <c r="G9" i="1"/>
  <c r="F9" i="1"/>
  <c r="E77" i="1"/>
  <c r="K52" i="1"/>
  <c r="F69" i="1"/>
  <c r="D52" i="1"/>
  <c r="F81" i="1"/>
  <c r="K81" i="1"/>
  <c r="D69" i="1"/>
  <c r="G81" i="1"/>
  <c r="E86" i="1"/>
  <c r="E25" i="1"/>
  <c r="E14" i="1"/>
  <c r="D81" i="1"/>
  <c r="L13" i="1"/>
  <c r="E10" i="1"/>
  <c r="H10" i="1" s="1"/>
  <c r="D32" i="1"/>
  <c r="L10" i="1"/>
  <c r="L25" i="1"/>
  <c r="D11" i="13" l="1"/>
  <c r="G11" i="13" s="1"/>
  <c r="L19" i="1"/>
  <c r="G16" i="13"/>
  <c r="D14" i="13"/>
  <c r="G14" i="13" s="1"/>
  <c r="H19" i="13"/>
  <c r="I31" i="1"/>
  <c r="F51" i="1"/>
  <c r="E19" i="13" s="1"/>
  <c r="D51" i="1"/>
  <c r="D31" i="1" s="1"/>
  <c r="H25" i="1"/>
  <c r="L32" i="1"/>
  <c r="J32" i="1"/>
  <c r="E81" i="1"/>
  <c r="E13" i="1"/>
  <c r="H13" i="1" s="1"/>
  <c r="H20" i="1"/>
  <c r="K51" i="1"/>
  <c r="K31" i="1" s="1"/>
  <c r="K18" i="1" s="1"/>
  <c r="H32" i="1"/>
  <c r="L9" i="1"/>
  <c r="D10" i="13" l="1"/>
  <c r="G10" i="13" s="1"/>
  <c r="I18" i="1"/>
  <c r="I8" i="1" s="1"/>
  <c r="E17" i="13"/>
  <c r="E13" i="13" s="1"/>
  <c r="F31" i="1"/>
  <c r="J31" i="1"/>
  <c r="J18" i="1" s="1"/>
  <c r="H17" i="13"/>
  <c r="I19" i="13"/>
  <c r="L51" i="1"/>
  <c r="J51" i="1"/>
  <c r="E9" i="1"/>
  <c r="H9" i="1" s="1"/>
  <c r="D18" i="1"/>
  <c r="H19" i="1"/>
  <c r="L31" i="1"/>
  <c r="E8" i="13" l="1"/>
  <c r="E7" i="13" s="1"/>
  <c r="I17" i="13"/>
  <c r="H8" i="13"/>
  <c r="I8" i="13" s="1"/>
  <c r="H13" i="13"/>
  <c r="I13" i="13" s="1"/>
  <c r="D8" i="1"/>
  <c r="J8" i="1" s="1"/>
  <c r="F18" i="1"/>
  <c r="F8" i="1" s="1"/>
  <c r="L18" i="1" l="1"/>
  <c r="K8" i="1"/>
  <c r="L8" i="1" l="1"/>
  <c r="E76" i="1" l="1"/>
  <c r="E70" i="1" s="1"/>
  <c r="E69" i="1" s="1"/>
  <c r="E51" i="1" s="1"/>
  <c r="H51" i="1" s="1"/>
  <c r="G70" i="1"/>
  <c r="G69" i="1" s="1"/>
  <c r="G51" i="1" s="1"/>
  <c r="G31" i="1" l="1"/>
  <c r="G18" i="1" s="1"/>
  <c r="G8" i="1" s="1"/>
  <c r="F19" i="13"/>
  <c r="D19" i="13" s="1"/>
  <c r="E31" i="1"/>
  <c r="H31" i="1" l="1"/>
  <c r="E18" i="1"/>
  <c r="F17" i="13"/>
  <c r="F13" i="13" l="1"/>
  <c r="F8" i="13"/>
  <c r="F7" i="13" s="1"/>
  <c r="H18" i="1"/>
  <c r="E8" i="1"/>
  <c r="H8" i="1" s="1"/>
  <c r="G19" i="13"/>
  <c r="D17" i="13"/>
  <c r="D13" i="13" l="1"/>
  <c r="G13" i="13" s="1"/>
  <c r="D8" i="13"/>
  <c r="G17" i="13"/>
  <c r="G8" i="13" l="1"/>
  <c r="D7" i="13"/>
  <c r="G7" i="13" s="1"/>
</calcChain>
</file>

<file path=xl/sharedStrings.xml><?xml version="1.0" encoding="utf-8"?>
<sst xmlns="http://schemas.openxmlformats.org/spreadsheetml/2006/main" count="422" uniqueCount="206">
  <si>
    <t>Đvt: triệu đồng</t>
  </si>
  <si>
    <t>STT</t>
  </si>
  <si>
    <t>Nguồn vốn đầu tư/Số dự án</t>
  </si>
  <si>
    <t>Mã dự án</t>
  </si>
  <si>
    <t>Ghi chú</t>
  </si>
  <si>
    <t>Tổng số</t>
  </si>
  <si>
    <t>TỔNG SỐ (A+B)</t>
  </si>
  <si>
    <t>A</t>
  </si>
  <si>
    <t>I</t>
  </si>
  <si>
    <t>Thanh toán công trình chuyển tiếp</t>
  </si>
  <si>
    <t>Lĩnh vực giáo dục và đào tạo</t>
  </si>
  <si>
    <t>Lĩnh vực Hạ tầng đô thị, CN-TMDL</t>
  </si>
  <si>
    <t>II</t>
  </si>
  <si>
    <t>Trường MG An Bình B (điểm chính)</t>
  </si>
  <si>
    <t>B</t>
  </si>
  <si>
    <t>Thanh toán nợ + Đối ứng và hoàn trả ứng vốn</t>
  </si>
  <si>
    <t>Thanh toán nợ + Đối ứng</t>
  </si>
  <si>
    <t>Thanh toán tất toán công trình hoàn thành (chi phí kiểm toán, chi phí thẩm tra phê duyệt quyết toán các công trình hoàn thành)</t>
  </si>
  <si>
    <t>Đối ứng các công trình Tỉnh hỗ trợ và các chương trình MTQG</t>
  </si>
  <si>
    <t>Hoàn trả ứng vốn</t>
  </si>
  <si>
    <t>Khu tái định cư An Lạc</t>
  </si>
  <si>
    <t>Nâng cấp, mở rộng và hệ thống thoát nước Đường Trần Phú</t>
  </si>
  <si>
    <t>Chỉnh trang đô thị khu đô thị An Thạnh</t>
  </si>
  <si>
    <t>Lĩnh vực giao thông</t>
  </si>
  <si>
    <t>Cầu Trần Hưng Đạo (bắc qua Mương Nhà Máy)</t>
  </si>
  <si>
    <t>Mở rộng đường dân sinh đấu nối với Đường Thoại Ngọc Hầu, khóm Sở Thượng, phường An Lạc</t>
  </si>
  <si>
    <t>Xử lý sạt lỡ bờ sông tiền khu vực An Lạc, thành phố Hồng Ngự và khu vực Tịnh Thới, thành phố Cao Lãnh, tỉnh Đồng Tháp</t>
  </si>
  <si>
    <t>Cầu Bình Hưng (đấu nối đường Nguyễn Tất Thành)</t>
  </si>
  <si>
    <t>Trong đó</t>
  </si>
  <si>
    <t>Thanh toán khối lượng hoàn thành</t>
  </si>
  <si>
    <t>Vốn tạm ứng theo chế độ chưa thu hồi</t>
  </si>
  <si>
    <t>Tỷ lệ</t>
  </si>
  <si>
    <t xml:space="preserve">Tỷ lệ </t>
  </si>
  <si>
    <t>TỔNG SỐ</t>
  </si>
  <si>
    <t>Vốn Tỉnh quản lý</t>
  </si>
  <si>
    <t>Vốn Thành phố quản lý</t>
  </si>
  <si>
    <t>Vốn thu tiền sử dụng đất</t>
  </si>
  <si>
    <t>Trường THCS An Lạc</t>
  </si>
  <si>
    <t>Trường MG Phường An Lạc</t>
  </si>
  <si>
    <t>Trường TH An Thạnh 1</t>
  </si>
  <si>
    <t>Hạ tầng khu đô thị Bắc An Thành</t>
  </si>
  <si>
    <t>Số dư tạm ứng</t>
  </si>
  <si>
    <t>Điều chỉnh kế hoạch vốn năm 2023</t>
  </si>
  <si>
    <t>Cải tạo, sửa chữa Đền thờ liệt sĩ thành phố Hồng Ngự</t>
  </si>
  <si>
    <t xml:space="preserve">	7891903</t>
  </si>
  <si>
    <t>Đường Trần Hưng Đạo (Lê Thị Hồng Gấm đến Nguyễn Huệ)</t>
  </si>
  <si>
    <t>Vốn cây xanh năm 2023 (đợt 1)</t>
  </si>
  <si>
    <t>V</t>
  </si>
  <si>
    <t>Chăm sóc cây xanh đô thị thành phố Hồng Ngự năm 2022 - 2024</t>
  </si>
  <si>
    <t>Đường kết nối Cụm công nghiệp</t>
  </si>
  <si>
    <t>Đường Võ Nguyên Giáp, phường An Lộc</t>
  </si>
  <si>
    <t>Dự kiến trong tháng tạm ứng phương án bồi thường lần 2</t>
  </si>
  <si>
    <t>Sửa chữa, nâng cấp đal Cù lao Vàm xếp</t>
  </si>
  <si>
    <t>Giá trị còn lại</t>
  </si>
  <si>
    <t>Trường TH Tân Hội (Điểm Tân Hòa)</t>
  </si>
  <si>
    <t>Ước giá trị giá trị giải ngân đến hết tháng 12</t>
  </si>
  <si>
    <t>BÁO CÁO KẾT QUẢ THANH TOÁN VỐN ĐẦU TƯ CÔNG KẾ HOẠCH NĂM 2023 - KỲ THÁNG 12</t>
  </si>
  <si>
    <t>Dự kiến trong tháng tạm ứng phương án bồi thường</t>
  </si>
  <si>
    <t>Chủ đầu tư Phòng Lao Động TB&amp;XH</t>
  </si>
  <si>
    <t>Đang trình Phòng TCKH phê duyệt dự toán 2% chi phí thực hiện BT</t>
  </si>
  <si>
    <t>Trồng cây xanh các điểm trường</t>
  </si>
  <si>
    <t>Chi phí GKST: 10.193.000, Thẩm tra QT: 8.007.000, kiểm tra nghiệm thu: 4.587.000</t>
  </si>
  <si>
    <t>Đề xuất đôi biểu</t>
  </si>
  <si>
    <t>Xã Tân Hội chủ đầu tư</t>
  </si>
  <si>
    <t>Lũy kế giá trị giải ngân đến 28/12/2023</t>
  </si>
  <si>
    <t xml:space="preserve">Hạ tầng khu đô thị Bắc An Thành </t>
  </si>
  <si>
    <t xml:space="preserve">Chỉnh trang đô thị khu đô thị An Thạnh </t>
  </si>
  <si>
    <t>Đường Nguyễn Tất Thành, phường An Lộc</t>
  </si>
  <si>
    <t>Chỉnh trang đô thị và cải thiện môi trường Tuyến dân cư Mương Nhà Máy</t>
  </si>
  <si>
    <t>Đường ra biên giới, xã Tân Hội</t>
  </si>
  <si>
    <t>Đường kết nối cụm công nghiệp</t>
  </si>
  <si>
    <t>Thanh toán nợ + Đối ứng Chương trình MTQG XDNTM</t>
  </si>
  <si>
    <t>Công trình khởi công mới năm 2024</t>
  </si>
  <si>
    <t xml:space="preserve">Nâng cấp, cải tạo kênh Hồng Ngự - Vĩnh Hưng </t>
  </si>
  <si>
    <t>Đường Nguyễn Tất Thành - phường An Lộc</t>
  </si>
  <si>
    <t>Khu tái định cư An Lạc (Khu 2)</t>
  </si>
  <si>
    <t>Cống thoát nước sau dãy nhà Khu đô thị Bờ Bắc - kênh Hồng Ngự Vĩnh Hưng</t>
  </si>
  <si>
    <t>Nạo vét tạo nguồn tuyến kênh Thống Nhất – Khu 8,9,10 (từ sông Sở Hạ đến kênh Hồng Ngự - Vĩnh Hưng)</t>
  </si>
  <si>
    <t>Đường vào Trường THCS và Mẫu giáo An Lạc</t>
  </si>
  <si>
    <t xml:space="preserve">	8057907</t>
  </si>
  <si>
    <t>Điều chỉnh kế hoạch vốn năm 2024</t>
  </si>
  <si>
    <t>Vốn Chương trình MTQG XD NTM năm 2024</t>
  </si>
  <si>
    <t>Nhựa hóa đường nhánh CDC Trung tâm xã (giai đoạn 2)</t>
  </si>
  <si>
    <t>Mở rộng và nâng cấp đường TDC Cần Sen 1</t>
  </si>
  <si>
    <t>Lũy kế giá trị giải ngân đến ngày báo cáo</t>
  </si>
  <si>
    <t>Đvt: Triệu đồng</t>
  </si>
  <si>
    <t xml:space="preserve">Vốn Tiền sử dụng đất Tỉnh hỗ trợ có mục tiêu </t>
  </si>
  <si>
    <t>Bồi thường</t>
  </si>
  <si>
    <t>ĐVT: Triệu đồng</t>
  </si>
  <si>
    <t>Kế hoạch vốn đã giao năm 2024</t>
  </si>
  <si>
    <t>Vốn cấp huyện quản lý</t>
  </si>
  <si>
    <t>Vốn Tỉnh hỗ trợ có mục tiêu năm 2024</t>
  </si>
  <si>
    <t>Vốn XSKT năm 2024 (Tỉnh quản lý)</t>
  </si>
  <si>
    <t>1.1</t>
  </si>
  <si>
    <t>VỐN THÀNH PHỐ QUẢN LÝ</t>
  </si>
  <si>
    <t>Vốn ngân sách tập trung</t>
  </si>
  <si>
    <t>1.2</t>
  </si>
  <si>
    <t>1.3</t>
  </si>
  <si>
    <t>2.1</t>
  </si>
  <si>
    <t>2.2</t>
  </si>
  <si>
    <t>2.3</t>
  </si>
  <si>
    <t>3.1</t>
  </si>
  <si>
    <t>3.2</t>
  </si>
  <si>
    <t>3.3</t>
  </si>
  <si>
    <t>3.4</t>
  </si>
  <si>
    <t>3.5</t>
  </si>
  <si>
    <t>Ước giá trị giải ngân năm 2024</t>
  </si>
  <si>
    <t>Vốn tiền sử dụng đất (Tỉnh hỗ trợ có mục tiêu) năm 2024</t>
  </si>
  <si>
    <t xml:space="preserve"> Vốn XSKT năm 2024 (Tỉnh hỗ trợ có mục tiêu) </t>
  </si>
  <si>
    <t>Ước giá trị giải ngân đến hết 30/9/2024</t>
  </si>
  <si>
    <t>Tình hình thực hiện</t>
  </si>
  <si>
    <t>- Đang thẩm định TKXD triển khai sau TKCS của Chủ đầu tư, làm cơ sở mời thầu thi công xây lắp.</t>
  </si>
  <si>
    <t>- Đang xét thầu thi công xây lắp.</t>
  </si>
  <si>
    <t>- Đã nghiệm thu hoàn thành.</t>
  </si>
  <si>
    <t>- Thi công bơm cát SLMB khối lượng đạt 26.000/40.700m3.
- Đã thi công đổ bê tông bó vỉa, hệ thống thoát nước đoạn từ đường Ngô Quyền - Hùng Vương khối lượng 150m cống Ø800mm và 06 hố ga, lu lèn nền đường (đoạn không vướng mặt bằng). 
- Đang tạm ngưng thi công chờ xem xét điều chỉnh quy hoạch. Tiến độ đạt 24%.</t>
  </si>
  <si>
    <t>Ước giải ngân đến ngày 30/9/2024</t>
  </si>
  <si>
    <t>Cống thoát nước sau dãy nhà TDC Cồng Cộc</t>
  </si>
  <si>
    <t>Đường Nguyễn Tất Thành</t>
  </si>
  <si>
    <t xml:space="preserve">Vốn tăng thu, tiết kiệm chi năm 2023 từ nguồn vốn đầu tư phát triển chuyển sang năm 2024 thực hiện </t>
  </si>
  <si>
    <t>Ước lũy kế vốn thanh toán từ đầu năm đến hết tháng báo cáo</t>
  </si>
  <si>
    <t>Lũy kế vốn thanh toán từ đầu năm đến hết tháng trước liền kề</t>
  </si>
  <si>
    <t>Biểu số 01a/TTKHN</t>
  </si>
  <si>
    <t>Vốn kế hoạch</t>
  </si>
  <si>
    <t>vốn kế hoạch năm trước được phép kéo dài (nếu có)</t>
  </si>
  <si>
    <t>vốn kế hoạch giao trong năm</t>
  </si>
  <si>
    <t>Thanh toán vốn kế hoạch kéo dài</t>
  </si>
  <si>
    <t>Thanh toán vốn kế hoạch năm</t>
  </si>
  <si>
    <t>Kế hoạch
Thủ tướng
Chính phủ giao</t>
  </si>
  <si>
    <t>Kế hoạch bộ, cơ quan trung ương/địa phương triển khai</t>
  </si>
  <si>
    <t>Tổng sổ</t>
  </si>
  <si>
    <t>Thanh toán khối lượng hoàn thanh</t>
  </si>
  <si>
    <t>3=4+6</t>
  </si>
  <si>
    <t>7=8+11</t>
  </si>
  <si>
    <t>8=9+10</t>
  </si>
  <si>
    <t>11=12+13</t>
  </si>
  <si>
    <t>14=15+16</t>
  </si>
  <si>
    <t>Vốn XSKT</t>
  </si>
  <si>
    <t>VỐN CẤP HUYỆN QUẢN LÝ</t>
  </si>
  <si>
    <t>VỐN NGÂN SÁCH TẬP TRUNG</t>
  </si>
  <si>
    <t>VỐN THU TIỀN SỬ DỤNG ĐẤT</t>
  </si>
  <si>
    <t>1. Mở rộng và nâng cấp đường TDC Cần Sen 1</t>
  </si>
  <si>
    <t>Lĩnh vực văn hóa xã hội</t>
  </si>
  <si>
    <t>Chuyển đổi số giáo dục năm 2024</t>
  </si>
  <si>
    <t xml:space="preserve"> Cống thoát nước sau dãy nhà TDC Cồng Cộc</t>
  </si>
  <si>
    <t>Lĩnh vực Nhà nước</t>
  </si>
  <si>
    <t>Mua sắm màn hình ghép và âm thanh màn hình ghép Hội trường lớn Thành ủy</t>
  </si>
  <si>
    <t xml:space="preserve">Thanh toán tất toán công trình hoàn thành </t>
  </si>
  <si>
    <t xml:space="preserve">Phân khai chi tiết </t>
  </si>
  <si>
    <t>1. Trường Trung học cơ sở An Lộc (HM: San lấp mặt bằng, công trình phụ)</t>
  </si>
  <si>
    <t>2. Trường TH Tân Hội (HM: XD 06 phòng học, 21 phòng CN, và TB)</t>
  </si>
  <si>
    <t>3. Đường Tôn Đức Thắng, đường số 1, đường số 2, đường số 4, đường số 6, đường số 7, đường số 9, 02 đường cặp UBND Thị xã</t>
  </si>
  <si>
    <t>4. Trường THCS An Lộc (Xây dựng 16 phòng học, 06 phòng chức năng và thiết bị)</t>
  </si>
  <si>
    <t>5. Trụ sở Thị đoàn và Liên đoàn Lao động (nay là Thành phố).</t>
  </si>
  <si>
    <t>6. Thay thế đèn chiếu sáng công cộng bằng đèn led kết hợp đô thị thông minh (các trục chính đô thị)</t>
  </si>
  <si>
    <t>7. Hệ thống đèn trang trí phục vụ dịp Tết Nguyên Đán 2022</t>
  </si>
  <si>
    <t>8. Đường Lê Duẩn, Lý Tự Trọng</t>
  </si>
  <si>
    <t>1. Nhựa hóa đường nhánh CDC Trung tâm xã (giai đoạn 2)</t>
  </si>
  <si>
    <t>Khu dân cư Bờ Nam - phường An Lộc (Tái định cư dự án nâng cấp, cải tạo Kênh Hồng Ngự-Vĩnh Hưng)</t>
  </si>
  <si>
    <t>- Tư vấn thiết kế đang lập dự toán.</t>
  </si>
  <si>
    <t>1.4</t>
  </si>
  <si>
    <t>BÁO CÁO KẾT QUẢ THANH TOÁN VỐN ĐẦU TƯ CÔNG KẾ HOẠCH NĂM 2024 - KỲ THÁNG 8</t>
  </si>
  <si>
    <t>BÁO CÁO KẾT QUẢ THANH TOÁN VỐN ĐẦU TƯ CÔNG NĂM 2024 - KỲ THÁNG 8</t>
  </si>
  <si>
    <t>Lũy kế vốn thanh toán từ đầu năm đến ngày báo cáo</t>
  </si>
  <si>
    <t>- Đã thi công đào đất, đắp đê chắn cát những vị trí không vướng mặt bằng đạt 600/1.528m.
- Bơm cát san lấp mặt bằng khối lượng 17.846/19.500m3.
- Tạm ngưng thi công do vướng mặt bằng và không có nguồn cung ứng cát san lấp. Tiến độ đạt 6%.</t>
  </si>
  <si>
    <t>BÁO CÁO KẾT QUẢ THANH TOÁN VỐN HỖ TRỢ BÙ HỤT THU THỦY LỢI PHÍ, VỐN HỖ TRỢ PHÁT TRIỂN ĐẤT TRỒNG LÚA NĂM 2024</t>
  </si>
  <si>
    <t>Kế hoạch vốn năm 2024</t>
  </si>
  <si>
    <t>Ước giá trị giải ngân đến hết 30/6/2024</t>
  </si>
  <si>
    <t>Tiến độ thực hiện dự án đầu tư XDCB (Đạt %, tình hình thực hiện)</t>
  </si>
  <si>
    <t>Vốn sự nghiệp mang tính chất đầu tư</t>
  </si>
  <si>
    <t>Vốn bù hụt thu thủy lợi phí năm 2024</t>
  </si>
  <si>
    <t>Thanh toán công trình hoàn thành</t>
  </si>
  <si>
    <t>Sửa chữa nâng cấp cống hở tạo nguồn đường nước tưới Cụm dân cư số 10</t>
  </si>
  <si>
    <t>Công trình khời công mới</t>
  </si>
  <si>
    <t>Nạo vét tạo nguồn kết hợp tiêu úng các đường nước nội đồng khu 1,2,3,4 Phường An Bình A; Nạo vét tạo nguồn kết hợp tiêu úng các đường nước nội đồng khu 1,2,3 xã Tân Hội; Nạo vét tạo nguồn kết hợp tiêu úng các đường nội đồng khu 2 An Bình B và Khu đê bao An Lạc.</t>
  </si>
  <si>
    <t>- Đã thi công hoàn thành nạo vét Khu 1, 3 xã Tân Hội; các tuyến Kênh phèn, 70.II phường An Bình B,
- Đang thi công nạo vét khu 2- phường An Bình A. Tiến độ đạt 17%.</t>
  </si>
  <si>
    <t>Nạo vét tạo nguồn Kênh Ba ánh (Đầu vàm đến kênh Ranh), Nạo vét gia cố đê bao Kênh cùng kho bể khu 3 (đoạn kênh kháng chiến đến kênh 3 ánh) phường An Bình B; Nạo vét gia cố đê bao kênh Cả Rô, Kênh kháng chiến (khu 7), Kênh Mười độ (khu 9, 10) xã Bình Thạnh</t>
  </si>
  <si>
    <t>- Đoạn kênh cá rô, kênh kháng chiến tạm ngưng do nước lên.
- Đoạn cầu kháng chiến đến kênh Ba Ánh: Đang thi công nạo vét đạt 1000/4030m.
- Đoạn kênh mười độ: Đang thi công nạo vét đạt 100/3500m. Tiến độ đạt 15%.</t>
  </si>
  <si>
    <t>Sửa chữa, nâng cấp các cống tạo nguồn, tiêu úng Đìa Sình (khu 3),  Sáu Minh  (khu 5) xã  Bình Thạnh; Tàu Cuốc (khu 3), Lung Ngang (khu 5) phường An Bình A; Ba Khải phường An Lạc và Bảy Trạm xã Tân Hội</t>
  </si>
  <si>
    <t>- Cống Lung Ngang, phường An Bình A: Đã thi công hoàn thành khung nâng, bệ máy, BTCT bản đáy, khung nâng phai gỗ.
- Cống Tàu cuốc, Đài Sình, Sáu Minh, Ba Khải: Tạm ngưng chờ thu hoạch lúa. Tiến độ đạt 4%.</t>
  </si>
  <si>
    <t>Sửa chữa, nâng cấp các cống tạo nguồn đường nước tưới CDC số 9</t>
  </si>
  <si>
    <t>- Đã thi công đổ bê tông lót 60/627,2m, bê tông bản đáy 50/627,2m, bê tông bản thành 31/627,2m.
- Đang gia công thép và đổ bê tông bản đáy đoạn tiếp theo. Tiến độ đạt 8%.</t>
  </si>
  <si>
    <t>Vốn hỗ trợ phát triển đất trồng lúa năm 2024</t>
  </si>
  <si>
    <t>Cứng hóa các Đường mang cá kéo lúa cụm dân cư 5,6,8 xã Tân Hội; Cứng hóa mang cá kéo lúa Tầm Dầu trên (khu 10 ), Ông Răng xã Bình Thạnh và Cứng hóa mang cá kéo lúa 6 Đương (khu 1) Phường An Bình B</t>
  </si>
  <si>
    <t>- Mang cá kéo lúa CDC số 5, 8 xã Tân Hội: Đã đổ BT hoàn thành đường đan.
- Cứng hoá mang cá Tầm Dầu trên (khu 10) Bình Thạnh: Hoàn thành.
- Mang cá 6 Đương, Hai răng: Chuẩn bị triên khai đắp đất đường đan. Tiến độ đạt 30%.</t>
  </si>
  <si>
    <t xml:space="preserve">Cứng hóa đường nội đồng, lát mái  bờ bao kênh Cả Rô (khu 1), kênh Cả Giáo (khu 6)   </t>
  </si>
  <si>
    <t>- Đoạn kênh cả giáo khu 6: tập kết cừ  tràm chuẩn bị đóng gia cố.
- Đoạn kênh Cả rô: đang đắp đất, ban mặt bằng, đường đan 100/1400m.  Tiến độ đạt 2%.</t>
  </si>
  <si>
    <t>IV</t>
  </si>
  <si>
    <t>TỔNG SỐ VỐN ĐẦU TƯ CÔNG</t>
  </si>
  <si>
    <t>TỔNG SỐ VỐN SỰ NGHIỆP</t>
  </si>
  <si>
    <t>- Đường nhánh trung tâm Xã: Đã thảm xong BTN nóng.
- Đường cặp sông Sở Thượng: Đang thi công nền đá 4x6 mặt đường. 
- Đường nhánh nhỏ (từ đường cặp sông ra đường nhánh trung tâm xã): Đang thi công nền đá 4x6 mặt đường. Tiến độ đạt 70%.</t>
  </si>
  <si>
    <t>- Gia công thép, chuẩn bị thi công cấu kiện đúc sẵn (Hố ga, gối cống). Tiến độ đạt 1%.</t>
  </si>
  <si>
    <t>- Đã thi công hoàn thành đắp đê chắn cát, bơm cát san lấp đạt 49.317/73.000m3.
- Khối dãy phòng A: Trát tường ngoài tầng 1, tầng 2, bả ma tít tường trong, lắp đặt HT điện.
- Khối dãy phòng B: Trát tường ngoài tầng 1, tầng 2, bả ma tít tường trong, lắp đặt HT điện.
- Khối dãy phòng C: Đang bả matit tường trong, ngoài tầng 1+2, lát gạch nền hành lan.
- Khối dãy phòng D: Trát trần sàn mái. bả matit tường trong, ngoài tầng 1+2, lát gạch nền hành lan.
- Khối dãy phòng E: Bả matit tường trong, sơn P tường ngoài.
- Khối cầu nối F1: Đổ bê tông sàn tầng 2. 
- Khối dãy phòng G: Xây trát tường mái, chống thấm mái. 
- Rãnh thoát nước: Đang xây tường; Nhà bảo vệ: Đang GCLD thép sàn mái; Hàng rào: xây tường mặt trước cổng chính. Tiến độ đạt 72%.</t>
  </si>
  <si>
    <t>- Đổ bê tông đà kiềng các khối C, D.
- Đang GCLD thép, ván khuôn và đổ bê tông cột  khối A  (từ trục A-M); khối B.
- Đang gia công thép cột trệt các khối tiếp theo. Tiến độ đạt 28%.</t>
  </si>
  <si>
    <t>- Khối phòng học: Đang thi công lắp dựng cửa đi, cửa sổ, sơn P tường ngoài.
- Bể nước PCCC: Lắp dựng máy che khung thép hình.
- Khối Hành chính - Quản trị: thi công xây tường bó nền. Tiến độ đạt 69%.</t>
  </si>
  <si>
    <t>- Đang thi công thử tĩnh cọc tim 1, tim 2. Tiến độ đạt 4%.</t>
  </si>
  <si>
    <t>- Đã thi công hoàn thành đất đắp đê chắn cát, cống ngang đường 64/64m.
- Đã nhập vật tư trụ điện, chuẩn bị thi công lắp dựng.
- Đang thi công rọ đá đạt 44/114 cái.
- Lắp đặt ống PVC thoát nước khi san lấp cát đạt 90/114 ống. Tiến độ đạt 3%.</t>
  </si>
  <si>
    <t>- Đã đổ bê tông mố MB, bê tông thân trụ T và gia công thép mũ trụ.
- Đang ép cọc đại trà đạt 210/352 cọc.
- Đã thi công hoàn thành di dời lưới điện trung thế tạm thời ra khỏi phạm vi công trình. Tiến độ đạt 33%.</t>
  </si>
  <si>
    <t>- Đã thi công hệ thống thoát nước, hố ga, gối cống ly tâm Ø1000m và đổ bê tông đạt 1.400/4.842m, bơm cát SLMB đạt: 120.000/240.000m3.
- Thi công nền đường lớp 2 đá 4x6 chèn 0x4 từ vòng xoay C33 - C22.
- Đang thi công đoạn hào kỹ thuật đạt 300m/1.600m.
Nhà thầu đang triển khai thi công HTTN đặt cống ly tâm Ø1000mm đoạn từ C15-C20. Đến nay vẫn chưa chủ động tìm nguồn cát san lấp để thi công tạo mặt bằng theo cam kết (đoạn không vướng mặt bằng) Tiến độ đạt 35%.</t>
  </si>
  <si>
    <t>- Đang đắp đê chắn cát khối lượng đạt 2.000/3.000m.
- Tập kết, vận chuyển cống hộp đúc sẳn vào công trình (từ đường Võ Nguyễn Giáp)
 - Thi công đóng cừ tràm và bê tông lót bản đáy cống hộp đạt 65/1300m. 
 - Thi công bê tông bản đáy (gối cống) cống hộp đạt 50/1300m. Tiến độ đạt 3%.</t>
  </si>
  <si>
    <t>- Chuẩn bị mời thầu thiết kế XD triển khai sau TKCS (Bước 2).</t>
  </si>
  <si>
    <t>- Đang vét hữu cơ nền đường và đào đất đắp đê chắn cát các vị trí không vướng mặt bằng. Tiến độ đạt 1%.</t>
  </si>
  <si>
    <t>- Đã ký kết HĐ thi công xây lắp.</t>
  </si>
  <si>
    <t>- Đang trình phê duyệt dự toán.</t>
  </si>
  <si>
    <t>- Đang thi công hệ thống thoát nước thải  Ø300 đạt 1.400/2.314m, thoát nước mưa 1.650/2.592m và hào kỹ thuật đạt 1.800/2.850m.
- Đang thi công đổ bê tông lót đá 1x2 M150 và xây tường bó nền đường số 2, số 3 và Đ02.
- Đang thi công ra đá lớp 1 nền đường và đổ bê tông bó vỉa đường số  4 và đường số 5). 
- Đã đóng điện và bàn giao cho Điện lực quản lý hệ thống điện trung thế, hạ thế (trạm CDC An Lạc và đường số 5). Tiến độ đạt 45%.</t>
  </si>
  <si>
    <t>- Khu A: Đã thi công bê tông tường rãnh khối lượng đạt: 194/194m, thi công đáy hố ga.
- Khu B: Thi công bê tông tường rãnh thoát nước khối lượng đạt 194/194m.
- Thi công đào rãnh các khu tiếp theo. Tiến độ đạt 48%.</t>
  </si>
  <si>
    <t>- Đã bàn giao mặt bằng, Đơn vị thi công đang đệ trình nguồn vật tư sử dụng cho công trình.
- Đến nay đã xây dựng láng trại, đổ bê tông bãi đúc cọc và tập kết vật tư thép để gia công cọc thử (số lượng thép tập kết rất ít). Chưa triển khai thi công. Tiến độ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</si>
</sst>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3" formatCode="_(* #,##0.00_);_(* \(#,##0.00\);_(* &quot;-&quot;??_);_(@_)"/>
    <numFmt numFmtId="164" formatCode="#,##0.00\ &quot;₫&quot;;\-#,##0.00\ &quot;₫&quot;"/>
    <numFmt numFmtId="165" formatCode="#,##0\ &quot;þ&quot;;[Red]\-#,##0\ &quot;þ&quot;"/>
    <numFmt numFmtId="166" formatCode="_-&quot;$&quot;* #,##0_-;\-&quot;$&quot;* #,##0_-;_-&quot;$&quot;* &quot;-&quot;_-;_-@_-"/>
    <numFmt numFmtId="167" formatCode="#,##0.000"/>
    <numFmt numFmtId="168" formatCode="_(* #,##0.000_);_(* \(#,##0.000\);_(* &quot;-&quot;??_);_(@_)"/>
    <numFmt numFmtId="169" formatCode="#,##0.000000"/>
    <numFmt numFmtId="170" formatCode="0.000%"/>
    <numFmt numFmtId="171" formatCode="_-* #,##0.000_-;\-* #,##0.000_-;_-* &quot;-&quot;??_-;_-@_-"/>
  </numFmts>
  <fonts count="65">
    <font>
      <sz val="11"/>
      <color theme="1"/>
      <name val="Times New Roman"/>
      <family val="2"/>
    </font>
    <font>
      <sz val="11"/>
      <color theme="1"/>
      <name val="Calibri"/>
      <family val="2"/>
      <scheme val="minor"/>
    </font>
    <font>
      <sz val="11"/>
      <color indexed="8"/>
      <name val="Calibri"/>
      <family val="2"/>
    </font>
    <font>
      <sz val="10"/>
      <name val="Arial"/>
      <family val="2"/>
    </font>
    <font>
      <sz val="12"/>
      <name val=".VnTime"/>
      <family val="2"/>
    </font>
    <font>
      <sz val="14"/>
      <name val="Times New Roman"/>
      <family val="1"/>
    </font>
    <font>
      <sz val="10"/>
      <name val="VNI-Times"/>
    </font>
    <font>
      <sz val="10"/>
      <name val="VNI-Helve"/>
    </font>
    <font>
      <sz val="13"/>
      <name val="Times New Roman"/>
      <family val="1"/>
    </font>
    <font>
      <sz val="12"/>
      <name val="Times New Roman"/>
      <family val="1"/>
    </font>
    <font>
      <i/>
      <sz val="12"/>
      <name val="Times New Roman"/>
      <family val="1"/>
    </font>
    <font>
      <sz val="11"/>
      <color theme="1"/>
      <name val="Calibri"/>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theme="1"/>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sz val="12"/>
      <color theme="1"/>
      <name val="Times New Roman"/>
      <family val="2"/>
    </font>
    <font>
      <sz val="11"/>
      <color theme="1"/>
      <name val="Calibri"/>
      <family val="2"/>
      <charset val="163"/>
      <scheme val="minor"/>
    </font>
    <font>
      <b/>
      <sz val="11"/>
      <color rgb="FF3F3F3F"/>
      <name val="Calibri"/>
      <family val="2"/>
    </font>
    <font>
      <b/>
      <sz val="18"/>
      <color theme="3"/>
      <name val="Cambria"/>
      <family val="2"/>
    </font>
    <font>
      <b/>
      <sz val="11"/>
      <color theme="1"/>
      <name val="Calibri"/>
      <family val="2"/>
    </font>
    <font>
      <sz val="11"/>
      <color rgb="FFFF0000"/>
      <name val="Calibri"/>
      <family val="2"/>
    </font>
    <font>
      <b/>
      <sz val="12"/>
      <color theme="1"/>
      <name val="Times New Roman"/>
      <family val="1"/>
    </font>
    <font>
      <b/>
      <sz val="9"/>
      <color theme="1"/>
      <name val="Times New Roman"/>
      <family val="1"/>
    </font>
    <font>
      <i/>
      <sz val="11"/>
      <color theme="1"/>
      <name val="Times New Roman"/>
      <family val="1"/>
    </font>
    <font>
      <sz val="12"/>
      <color theme="1"/>
      <name val="Times New Roman"/>
      <family val="1"/>
    </font>
    <font>
      <sz val="12"/>
      <color rgb="FF000000"/>
      <name val="Times New Roman"/>
      <family val="1"/>
    </font>
    <font>
      <i/>
      <sz val="12"/>
      <color theme="1"/>
      <name val="Times New Roman"/>
      <family val="1"/>
    </font>
    <font>
      <sz val="12"/>
      <color theme="1"/>
      <name val="TimesNewRomanPS-BoldMT"/>
    </font>
    <font>
      <sz val="12"/>
      <color rgb="FFFF0000"/>
      <name val="Times New Roman"/>
      <family val="1"/>
    </font>
    <font>
      <b/>
      <sz val="11"/>
      <color theme="1"/>
      <name val="Times New Roman"/>
      <family val="1"/>
    </font>
    <font>
      <b/>
      <sz val="14"/>
      <color theme="1"/>
      <name val="Times New Roman"/>
      <family val="1"/>
    </font>
    <font>
      <sz val="12"/>
      <color theme="1"/>
      <name val="Calibri"/>
      <family val="2"/>
    </font>
    <font>
      <b/>
      <sz val="16"/>
      <color theme="1"/>
      <name val="Times New Roman"/>
      <family val="1"/>
    </font>
    <font>
      <i/>
      <sz val="14"/>
      <color theme="1"/>
      <name val="Times New Roman"/>
      <family val="1"/>
    </font>
    <font>
      <sz val="11"/>
      <color theme="1"/>
      <name val="Times New Roman"/>
      <family val="2"/>
    </font>
    <font>
      <sz val="8"/>
      <name val="Times New Roman"/>
      <family val="2"/>
    </font>
    <font>
      <sz val="11"/>
      <color theme="1"/>
      <name val="Times New Roman"/>
      <family val="1"/>
    </font>
    <font>
      <b/>
      <sz val="13"/>
      <color theme="1"/>
      <name val="Times New Roman"/>
      <family val="1"/>
    </font>
    <font>
      <sz val="14"/>
      <color theme="1"/>
      <name val="Times New Roman"/>
      <family val="2"/>
    </font>
    <font>
      <sz val="13"/>
      <color theme="1"/>
      <name val="Times New Roman"/>
      <family val="1"/>
    </font>
    <font>
      <sz val="14"/>
      <color theme="1"/>
      <name val="Times New Roman"/>
      <family val="1"/>
    </font>
    <font>
      <b/>
      <sz val="14"/>
      <name val="Times New Roman"/>
      <family val="1"/>
    </font>
    <font>
      <sz val="11"/>
      <name val="Times New Roman"/>
      <family val="2"/>
    </font>
    <font>
      <i/>
      <sz val="14"/>
      <name val="Times New Roman"/>
      <family val="1"/>
    </font>
    <font>
      <sz val="11"/>
      <name val="Calibri"/>
      <family val="2"/>
    </font>
    <font>
      <b/>
      <sz val="9"/>
      <name val="Times New Roman"/>
      <family val="1"/>
    </font>
    <font>
      <i/>
      <sz val="11"/>
      <name val="Times New Roman"/>
      <family val="1"/>
    </font>
    <font>
      <b/>
      <sz val="12"/>
      <name val="Times New Roman"/>
      <family val="1"/>
    </font>
    <font>
      <sz val="12"/>
      <name val="Calibri"/>
      <family val="2"/>
    </font>
    <font>
      <b/>
      <sz val="11"/>
      <name val="Times New Roman"/>
      <family val="1"/>
    </font>
    <font>
      <sz val="11"/>
      <name val="Times New Roman"/>
      <family val="1"/>
    </font>
    <font>
      <sz val="14"/>
      <name val="TimesNewRomanPSMT"/>
    </font>
    <font>
      <b/>
      <i/>
      <sz val="11"/>
      <name val="Times New Roman"/>
      <family val="1"/>
    </font>
    <font>
      <sz val="11"/>
      <color rgb="FFFF0000"/>
      <name val="Times New Roman"/>
      <family val="2"/>
    </font>
    <font>
      <sz val="11"/>
      <color rgb="FFFF0000"/>
      <name val="Times New Roman"/>
      <family val="1"/>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107">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8" borderId="0" applyNumberFormat="0" applyBorder="0" applyAlignment="0" applyProtection="0"/>
    <xf numFmtId="0" fontId="12" fillId="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4" fillId="26" borderId="7" applyNumberFormat="0" applyAlignment="0" applyProtection="0"/>
    <xf numFmtId="0" fontId="15" fillId="27" borderId="8" applyNumberFormat="0" applyAlignment="0" applyProtection="0"/>
    <xf numFmtId="41" fontId="3" fillId="0" borderId="0" applyFont="0" applyFill="0" applyBorder="0" applyAlignment="0" applyProtection="0"/>
    <xf numFmtId="43" fontId="11"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16" fillId="0" borderId="0" applyFont="0" applyFill="0" applyBorder="0" applyAlignment="0" applyProtection="0"/>
    <xf numFmtId="165" fontId="4"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xf numFmtId="0" fontId="18" fillId="28" borderId="0" applyNumberFormat="0" applyBorder="0" applyAlignment="0" applyProtection="0"/>
    <xf numFmtId="0" fontId="19" fillId="0" borderId="9" applyNumberFormat="0" applyFill="0" applyAlignment="0" applyProtection="0"/>
    <xf numFmtId="0" fontId="20" fillId="0" borderId="10" applyNumberFormat="0" applyFill="0" applyAlignment="0" applyProtection="0"/>
    <xf numFmtId="0" fontId="21" fillId="0" borderId="11" applyNumberFormat="0" applyFill="0" applyAlignment="0" applyProtection="0"/>
    <xf numFmtId="0" fontId="21" fillId="0" borderId="0" applyNumberFormat="0" applyFill="0" applyBorder="0" applyAlignment="0" applyProtection="0"/>
    <xf numFmtId="0" fontId="22" fillId="29" borderId="7" applyNumberFormat="0" applyAlignment="0" applyProtection="0"/>
    <xf numFmtId="0" fontId="23" fillId="0" borderId="12" applyNumberFormat="0" applyFill="0" applyAlignment="0" applyProtection="0"/>
    <xf numFmtId="0" fontId="24" fillId="30" borderId="0" applyNumberFormat="0" applyBorder="0" applyAlignment="0" applyProtection="0"/>
    <xf numFmtId="0" fontId="11" fillId="0" borderId="0"/>
    <xf numFmtId="0" fontId="11" fillId="0" borderId="0"/>
    <xf numFmtId="0" fontId="11" fillId="0" borderId="0"/>
    <xf numFmtId="0" fontId="16" fillId="0" borderId="0"/>
    <xf numFmtId="0" fontId="7" fillId="0" borderId="0"/>
    <xf numFmtId="0" fontId="25" fillId="0" borderId="0"/>
    <xf numFmtId="0" fontId="11"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26" fillId="0" borderId="0"/>
    <xf numFmtId="0" fontId="3" fillId="0" borderId="0"/>
    <xf numFmtId="0" fontId="2" fillId="31" borderId="13" applyNumberFormat="0" applyFont="0" applyAlignment="0" applyProtection="0"/>
    <xf numFmtId="0" fontId="27" fillId="26" borderId="14" applyNumberFormat="0" applyAlignment="0" applyProtection="0"/>
    <xf numFmtId="166" fontId="6" fillId="0" borderId="0" applyFont="0" applyFill="0" applyBorder="0" applyAlignment="0" applyProtection="0"/>
    <xf numFmtId="168" fontId="6" fillId="0" borderId="0" applyFont="0" applyFill="0" applyBorder="0" applyAlignment="0" applyProtection="0"/>
    <xf numFmtId="0" fontId="28" fillId="0" borderId="0" applyNumberFormat="0" applyFill="0" applyBorder="0" applyAlignment="0" applyProtection="0"/>
    <xf numFmtId="0" fontId="29" fillId="0" borderId="15" applyNumberFormat="0" applyFill="0" applyAlignment="0" applyProtection="0"/>
    <xf numFmtId="0" fontId="30" fillId="0" borderId="0" applyNumberFormat="0" applyFill="0" applyBorder="0" applyAlignment="0" applyProtection="0"/>
    <xf numFmtId="43" fontId="44" fillId="0" borderId="0" applyFont="0" applyFill="0" applyBorder="0" applyAlignment="0" applyProtection="0"/>
    <xf numFmtId="9" fontId="44" fillId="0" borderId="0" applyFont="0" applyFill="0" applyBorder="0" applyAlignment="0" applyProtection="0"/>
    <xf numFmtId="0" fontId="1" fillId="0" borderId="0"/>
    <xf numFmtId="0" fontId="25" fillId="0" borderId="0"/>
  </cellStyleXfs>
  <cellXfs count="342">
    <xf numFmtId="0" fontId="0" fillId="0" borderId="0" xfId="0"/>
    <xf numFmtId="167" fontId="0" fillId="0" borderId="0" xfId="0" applyNumberFormat="1"/>
    <xf numFmtId="10" fontId="32" fillId="0" borderId="0" xfId="61" applyNumberFormat="1" applyFont="1" applyAlignment="1">
      <alignment horizontal="center" vertical="center" wrapText="1"/>
    </xf>
    <xf numFmtId="1" fontId="11" fillId="0" borderId="0" xfId="61" applyNumberFormat="1" applyAlignment="1">
      <alignment horizontal="center"/>
    </xf>
    <xf numFmtId="0" fontId="32" fillId="0" borderId="0" xfId="61" applyFont="1" applyAlignment="1">
      <alignment horizontal="center" vertical="center" wrapText="1"/>
    </xf>
    <xf numFmtId="167" fontId="32" fillId="0" borderId="0" xfId="61" applyNumberFormat="1" applyFont="1" applyAlignment="1">
      <alignment horizontal="center" vertical="center" wrapText="1"/>
    </xf>
    <xf numFmtId="0" fontId="33" fillId="0" borderId="0" xfId="61" applyFont="1" applyAlignment="1">
      <alignment horizontal="right"/>
    </xf>
    <xf numFmtId="167" fontId="0" fillId="0" borderId="0" xfId="0" applyNumberFormat="1" applyAlignment="1">
      <alignment horizontal="center" vertical="center"/>
    </xf>
    <xf numFmtId="0" fontId="11" fillId="0" borderId="0" xfId="61" applyAlignment="1">
      <alignment horizontal="center"/>
    </xf>
    <xf numFmtId="0" fontId="11" fillId="0" borderId="0" xfId="61" applyAlignment="1">
      <alignment wrapText="1"/>
    </xf>
    <xf numFmtId="167" fontId="0" fillId="0" borderId="1" xfId="0" applyNumberFormat="1" applyBorder="1" applyAlignment="1">
      <alignment horizontal="center" vertical="center"/>
    </xf>
    <xf numFmtId="167" fontId="0" fillId="0" borderId="2" xfId="0" applyNumberFormat="1" applyBorder="1" applyAlignment="1">
      <alignment horizontal="center" vertical="center"/>
    </xf>
    <xf numFmtId="0" fontId="0" fillId="0" borderId="0" xfId="0" applyAlignment="1">
      <alignment horizontal="center"/>
    </xf>
    <xf numFmtId="0" fontId="0" fillId="0" borderId="0" xfId="0" applyAlignment="1">
      <alignment wrapText="1"/>
    </xf>
    <xf numFmtId="1" fontId="0" fillId="0" borderId="0" xfId="0" applyNumberFormat="1" applyAlignment="1">
      <alignment horizontal="center"/>
    </xf>
    <xf numFmtId="10" fontId="0" fillId="0" borderId="0" xfId="0" applyNumberFormat="1"/>
    <xf numFmtId="3" fontId="0" fillId="0" borderId="0" xfId="0" applyNumberFormat="1"/>
    <xf numFmtId="0" fontId="10" fillId="0" borderId="1" xfId="0" applyFont="1" applyBorder="1" applyAlignment="1">
      <alignment horizontal="left" vertical="center" wrapText="1"/>
    </xf>
    <xf numFmtId="167" fontId="10" fillId="0" borderId="1" xfId="0" applyNumberFormat="1" applyFont="1" applyBorder="1" applyAlignment="1">
      <alignment horizontal="center" vertical="center" wrapText="1"/>
    </xf>
    <xf numFmtId="167" fontId="31" fillId="0" borderId="1" xfId="92" applyNumberFormat="1" applyFont="1" applyBorder="1" applyAlignment="1">
      <alignment horizontal="center" vertical="center" wrapText="1"/>
    </xf>
    <xf numFmtId="0" fontId="10" fillId="32" borderId="1" xfId="0" applyFont="1" applyFill="1" applyBorder="1" applyAlignment="1">
      <alignment vertical="center" wrapText="1"/>
    </xf>
    <xf numFmtId="1" fontId="34" fillId="0" borderId="3" xfId="61" applyNumberFormat="1" applyFont="1" applyBorder="1" applyAlignment="1">
      <alignment horizontal="center" vertical="center" wrapText="1"/>
    </xf>
    <xf numFmtId="0" fontId="34" fillId="0" borderId="1" xfId="61" applyFont="1" applyBorder="1" applyAlignment="1">
      <alignment horizontal="center" vertical="center"/>
    </xf>
    <xf numFmtId="0" fontId="31" fillId="0" borderId="1" xfId="61" applyFont="1" applyBorder="1" applyAlignment="1">
      <alignment horizontal="center" vertical="center" wrapText="1"/>
    </xf>
    <xf numFmtId="1" fontId="34" fillId="0" borderId="1" xfId="61" applyNumberFormat="1" applyFont="1" applyBorder="1" applyAlignment="1">
      <alignment horizontal="center" vertical="center" wrapText="1"/>
    </xf>
    <xf numFmtId="167" fontId="31" fillId="0" borderId="1" xfId="61" applyNumberFormat="1" applyFont="1" applyBorder="1" applyAlignment="1">
      <alignment horizontal="center" vertical="center" wrapText="1"/>
    </xf>
    <xf numFmtId="3" fontId="34" fillId="0" borderId="1" xfId="61" applyNumberFormat="1" applyFont="1" applyBorder="1" applyAlignment="1">
      <alignment horizontal="center" vertical="center" wrapText="1"/>
    </xf>
    <xf numFmtId="0" fontId="31" fillId="0" borderId="1" xfId="61" applyFont="1" applyBorder="1" applyAlignment="1">
      <alignment horizontal="center" vertical="center"/>
    </xf>
    <xf numFmtId="0" fontId="31" fillId="0" borderId="1" xfId="61" applyFont="1" applyBorder="1" applyAlignment="1">
      <alignment vertical="center" wrapText="1"/>
    </xf>
    <xf numFmtId="1" fontId="31" fillId="0" borderId="1" xfId="61" applyNumberFormat="1" applyFont="1" applyBorder="1" applyAlignment="1">
      <alignment horizontal="center" vertical="center" wrapText="1"/>
    </xf>
    <xf numFmtId="3" fontId="31" fillId="0" borderId="1" xfId="61" applyNumberFormat="1" applyFont="1" applyBorder="1" applyAlignment="1">
      <alignment horizontal="center" vertical="center" wrapText="1"/>
    </xf>
    <xf numFmtId="1" fontId="34" fillId="0" borderId="1" xfId="95" applyNumberFormat="1" applyFont="1" applyBorder="1" applyAlignment="1">
      <alignment horizontal="center" vertical="center"/>
    </xf>
    <xf numFmtId="3" fontId="34" fillId="0" borderId="1" xfId="56" applyNumberFormat="1" applyFont="1" applyBorder="1" applyAlignment="1">
      <alignment horizontal="justify" vertical="center" wrapText="1"/>
    </xf>
    <xf numFmtId="167" fontId="34" fillId="0" borderId="1" xfId="55" applyNumberFormat="1" applyFont="1" applyBorder="1" applyAlignment="1">
      <alignment horizontal="center" vertical="center" wrapText="1"/>
    </xf>
    <xf numFmtId="167" fontId="34" fillId="0" borderId="1" xfId="61" applyNumberFormat="1" applyFont="1" applyBorder="1" applyAlignment="1">
      <alignment horizontal="center" vertical="center" wrapText="1"/>
    </xf>
    <xf numFmtId="1" fontId="35" fillId="0" borderId="1" xfId="58" applyNumberFormat="1" applyFont="1" applyBorder="1" applyAlignment="1">
      <alignment horizontal="center" vertical="center" shrinkToFit="1"/>
    </xf>
    <xf numFmtId="0" fontId="9" fillId="0" borderId="1" xfId="58" applyFont="1" applyBorder="1" applyAlignment="1">
      <alignment vertical="center" wrapText="1"/>
    </xf>
    <xf numFmtId="167" fontId="35" fillId="0" borderId="1" xfId="58" applyNumberFormat="1" applyFont="1" applyBorder="1" applyAlignment="1">
      <alignment horizontal="center" vertical="center" shrinkToFit="1"/>
    </xf>
    <xf numFmtId="1" fontId="31" fillId="0" borderId="1" xfId="95" applyNumberFormat="1" applyFont="1" applyBorder="1" applyAlignment="1">
      <alignment horizontal="center" vertical="center"/>
    </xf>
    <xf numFmtId="3" fontId="31" fillId="0" borderId="1" xfId="56" applyNumberFormat="1" applyFont="1" applyBorder="1" applyAlignment="1">
      <alignment horizontal="justify" vertical="center" wrapText="1"/>
    </xf>
    <xf numFmtId="0" fontId="34" fillId="0" borderId="1" xfId="61" applyFont="1" applyBorder="1" applyAlignment="1">
      <alignment horizontal="left" vertical="center" wrapText="1"/>
    </xf>
    <xf numFmtId="1" fontId="34" fillId="0" borderId="1" xfId="31" applyNumberFormat="1" applyFont="1" applyFill="1" applyBorder="1" applyAlignment="1">
      <alignment horizontal="center" vertical="center" wrapText="1"/>
    </xf>
    <xf numFmtId="167" fontId="34" fillId="0" borderId="1" xfId="61" applyNumberFormat="1" applyFont="1" applyBorder="1" applyAlignment="1">
      <alignment horizontal="center" vertical="center"/>
    </xf>
    <xf numFmtId="1" fontId="36" fillId="32" borderId="1" xfId="61" applyNumberFormat="1" applyFont="1" applyFill="1" applyBorder="1" applyAlignment="1">
      <alignment horizontal="center" vertical="center" wrapText="1"/>
    </xf>
    <xf numFmtId="167" fontId="36" fillId="32" borderId="1" xfId="61" applyNumberFormat="1" applyFont="1" applyFill="1" applyBorder="1" applyAlignment="1">
      <alignment horizontal="center" vertical="center"/>
    </xf>
    <xf numFmtId="167" fontId="34" fillId="32" borderId="1" xfId="61" applyNumberFormat="1" applyFont="1" applyFill="1" applyBorder="1" applyAlignment="1">
      <alignment horizontal="center" vertical="center" wrapText="1"/>
    </xf>
    <xf numFmtId="3" fontId="36" fillId="32" borderId="1" xfId="61" applyNumberFormat="1" applyFont="1" applyFill="1" applyBorder="1" applyAlignment="1">
      <alignment horizontal="center" vertical="center" wrapText="1"/>
    </xf>
    <xf numFmtId="167" fontId="34" fillId="0" borderId="1" xfId="61" applyNumberFormat="1" applyFont="1" applyBorder="1" applyAlignment="1">
      <alignment horizontal="center" vertical="center" shrinkToFit="1"/>
    </xf>
    <xf numFmtId="0" fontId="37" fillId="0" borderId="0" xfId="61" applyFont="1" applyAlignment="1">
      <alignment vertical="center" wrapText="1"/>
    </xf>
    <xf numFmtId="167" fontId="34" fillId="0" borderId="4" xfId="61" applyNumberFormat="1" applyFont="1" applyBorder="1" applyAlignment="1">
      <alignment horizontal="center" vertical="center" wrapText="1"/>
    </xf>
    <xf numFmtId="0" fontId="34" fillId="32" borderId="1" xfId="61" applyFont="1" applyFill="1" applyBorder="1" applyAlignment="1">
      <alignment horizontal="left" vertical="center" wrapText="1"/>
    </xf>
    <xf numFmtId="1" fontId="34" fillId="32" borderId="1" xfId="33" applyNumberFormat="1" applyFont="1" applyFill="1" applyBorder="1" applyAlignment="1">
      <alignment horizontal="center" vertical="center" wrapText="1"/>
    </xf>
    <xf numFmtId="167" fontId="34" fillId="32" borderId="1" xfId="61" applyNumberFormat="1" applyFont="1" applyFill="1" applyBorder="1" applyAlignment="1">
      <alignment horizontal="center" vertical="center"/>
    </xf>
    <xf numFmtId="167" fontId="34" fillId="32" borderId="1" xfId="61" applyNumberFormat="1" applyFont="1" applyFill="1" applyBorder="1" applyAlignment="1">
      <alignment horizontal="center" vertical="center" shrinkToFit="1"/>
    </xf>
    <xf numFmtId="3" fontId="34" fillId="32" borderId="1" xfId="61" applyNumberFormat="1" applyFont="1" applyFill="1" applyBorder="1" applyAlignment="1">
      <alignment horizontal="center" vertical="center" wrapText="1"/>
    </xf>
    <xf numFmtId="0" fontId="34" fillId="0" borderId="1" xfId="64" applyFont="1" applyBorder="1" applyAlignment="1">
      <alignment vertical="center" wrapText="1"/>
    </xf>
    <xf numFmtId="1" fontId="34" fillId="0" borderId="1" xfId="61" applyNumberFormat="1" applyFont="1" applyBorder="1" applyAlignment="1">
      <alignment horizontal="center" vertical="center"/>
    </xf>
    <xf numFmtId="167" fontId="34" fillId="0" borderId="1" xfId="83" applyNumberFormat="1" applyFont="1" applyBorder="1" applyAlignment="1">
      <alignment horizontal="center" vertical="center" wrapText="1"/>
    </xf>
    <xf numFmtId="0" fontId="25"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left" vertical="center" wrapText="1"/>
    </xf>
    <xf numFmtId="1" fontId="31" fillId="0" borderId="1" xfId="0" applyNumberFormat="1" applyFont="1" applyBorder="1" applyAlignment="1">
      <alignment horizontal="center" vertical="center"/>
    </xf>
    <xf numFmtId="167" fontId="31"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1" fontId="25" fillId="0" borderId="1" xfId="0" applyNumberFormat="1" applyFont="1" applyBorder="1" applyAlignment="1">
      <alignment horizontal="center" vertical="center"/>
    </xf>
    <xf numFmtId="167" fontId="25" fillId="0" borderId="1" xfId="0" applyNumberFormat="1" applyFont="1" applyBorder="1" applyAlignment="1">
      <alignment horizontal="center" vertical="center"/>
    </xf>
    <xf numFmtId="167" fontId="38" fillId="33" borderId="1" xfId="61" applyNumberFormat="1" applyFont="1" applyFill="1" applyBorder="1" applyAlignment="1">
      <alignment horizontal="center" vertical="center" wrapText="1"/>
    </xf>
    <xf numFmtId="167" fontId="31" fillId="32" borderId="1" xfId="61" applyNumberFormat="1" applyFont="1" applyFill="1" applyBorder="1" applyAlignment="1">
      <alignment horizontal="center" vertical="center" wrapText="1"/>
    </xf>
    <xf numFmtId="0" fontId="25" fillId="32" borderId="1" xfId="0" applyFont="1" applyFill="1" applyBorder="1" applyAlignment="1">
      <alignment horizontal="center" vertical="center"/>
    </xf>
    <xf numFmtId="0" fontId="25" fillId="32" borderId="1" xfId="0" applyFont="1" applyFill="1" applyBorder="1" applyAlignment="1">
      <alignment vertical="center" wrapText="1"/>
    </xf>
    <xf numFmtId="1" fontId="25" fillId="32" borderId="1" xfId="0" applyNumberFormat="1" applyFont="1" applyFill="1" applyBorder="1" applyAlignment="1">
      <alignment horizontal="center" vertical="center"/>
    </xf>
    <xf numFmtId="167" fontId="25" fillId="32" borderId="1" xfId="0" applyNumberFormat="1" applyFont="1" applyFill="1" applyBorder="1" applyAlignment="1">
      <alignment horizontal="center" vertical="center"/>
    </xf>
    <xf numFmtId="10" fontId="34" fillId="34" borderId="1" xfId="61" quotePrefix="1" applyNumberFormat="1" applyFont="1" applyFill="1" applyBorder="1" applyAlignment="1">
      <alignment horizontal="left" vertical="center" wrapText="1"/>
    </xf>
    <xf numFmtId="167" fontId="34" fillId="34" borderId="1" xfId="61" applyNumberFormat="1" applyFont="1" applyFill="1" applyBorder="1" applyAlignment="1">
      <alignment horizontal="center" vertical="center" wrapText="1"/>
    </xf>
    <xf numFmtId="167" fontId="31" fillId="34" borderId="1" xfId="83" applyNumberFormat="1" applyFont="1" applyFill="1" applyBorder="1" applyAlignment="1">
      <alignment horizontal="center" vertical="center" shrinkToFit="1"/>
    </xf>
    <xf numFmtId="167" fontId="34" fillId="34" borderId="1" xfId="83" applyNumberFormat="1" applyFont="1" applyFill="1" applyBorder="1" applyAlignment="1">
      <alignment horizontal="center" vertical="center" shrinkToFit="1"/>
    </xf>
    <xf numFmtId="171" fontId="36" fillId="34" borderId="1" xfId="103" applyNumberFormat="1" applyFont="1" applyFill="1" applyBorder="1" applyAlignment="1">
      <alignment horizontal="center" vertical="center" wrapText="1"/>
    </xf>
    <xf numFmtId="167" fontId="34" fillId="34" borderId="1" xfId="61" applyNumberFormat="1" applyFont="1" applyFill="1" applyBorder="1" applyAlignment="1">
      <alignment horizontal="center" vertical="center"/>
    </xf>
    <xf numFmtId="167" fontId="34" fillId="34" borderId="1" xfId="31" applyNumberFormat="1" applyFont="1" applyFill="1" applyBorder="1" applyAlignment="1">
      <alignment horizontal="center" vertical="center"/>
    </xf>
    <xf numFmtId="0" fontId="31" fillId="34" borderId="0" xfId="61" applyFont="1" applyFill="1"/>
    <xf numFmtId="0" fontId="34" fillId="34" borderId="0" xfId="0" applyFont="1" applyFill="1"/>
    <xf numFmtId="3" fontId="25" fillId="34" borderId="0" xfId="0" applyNumberFormat="1" applyFont="1" applyFill="1"/>
    <xf numFmtId="0" fontId="25" fillId="34" borderId="0" xfId="0" applyFont="1" applyFill="1"/>
    <xf numFmtId="0" fontId="41" fillId="34" borderId="0" xfId="61" applyFont="1" applyFill="1" applyAlignment="1">
      <alignment horizontal="center"/>
    </xf>
    <xf numFmtId="0" fontId="41" fillId="34" borderId="0" xfId="61" applyFont="1" applyFill="1" applyAlignment="1">
      <alignment wrapText="1"/>
    </xf>
    <xf numFmtId="167" fontId="31" fillId="34" borderId="0" xfId="61" applyNumberFormat="1" applyFont="1" applyFill="1" applyAlignment="1">
      <alignment horizontal="center" vertical="center" wrapText="1"/>
    </xf>
    <xf numFmtId="10" fontId="31" fillId="34" borderId="0" xfId="61" applyNumberFormat="1" applyFont="1" applyFill="1" applyAlignment="1">
      <alignment horizontal="center" vertical="center" wrapText="1"/>
    </xf>
    <xf numFmtId="0" fontId="36" fillId="34" borderId="0" xfId="61" applyFont="1" applyFill="1" applyAlignment="1">
      <alignment horizontal="right"/>
    </xf>
    <xf numFmtId="0" fontId="31" fillId="34" borderId="1" xfId="61" applyFont="1" applyFill="1" applyBorder="1" applyAlignment="1">
      <alignment horizontal="center" vertical="center" wrapText="1"/>
    </xf>
    <xf numFmtId="0" fontId="31" fillId="34" borderId="1" xfId="0" applyFont="1" applyFill="1" applyBorder="1" applyAlignment="1">
      <alignment horizontal="center" vertical="center" wrapText="1"/>
    </xf>
    <xf numFmtId="167" fontId="31" fillId="34" borderId="1" xfId="92" applyNumberFormat="1" applyFont="1" applyFill="1" applyBorder="1" applyAlignment="1">
      <alignment horizontal="center" vertical="center" wrapText="1"/>
    </xf>
    <xf numFmtId="0" fontId="34" fillId="34" borderId="1" xfId="0" applyFont="1" applyFill="1" applyBorder="1" applyAlignment="1">
      <alignment horizontal="center" vertical="center" wrapText="1"/>
    </xf>
    <xf numFmtId="0" fontId="34" fillId="34" borderId="16" xfId="0" applyFont="1" applyFill="1" applyBorder="1" applyAlignment="1">
      <alignment horizontal="center" vertical="center" wrapText="1"/>
    </xf>
    <xf numFmtId="0" fontId="31" fillId="34" borderId="1" xfId="61" applyFont="1" applyFill="1" applyBorder="1" applyAlignment="1">
      <alignment horizontal="center" vertical="center"/>
    </xf>
    <xf numFmtId="167" fontId="31" fillId="34" borderId="1" xfId="61" applyNumberFormat="1" applyFont="1" applyFill="1" applyBorder="1" applyAlignment="1">
      <alignment horizontal="center" vertical="center" wrapText="1"/>
    </xf>
    <xf numFmtId="10" fontId="31" fillId="34" borderId="1" xfId="61" applyNumberFormat="1" applyFont="1" applyFill="1" applyBorder="1" applyAlignment="1">
      <alignment horizontal="center" vertical="center" wrapText="1"/>
    </xf>
    <xf numFmtId="3" fontId="31" fillId="34" borderId="1" xfId="61" applyNumberFormat="1" applyFont="1" applyFill="1" applyBorder="1" applyAlignment="1">
      <alignment horizontal="center" vertical="center" wrapText="1"/>
    </xf>
    <xf numFmtId="0" fontId="31" fillId="34" borderId="1" xfId="61" applyFont="1" applyFill="1" applyBorder="1" applyAlignment="1">
      <alignment vertical="center" wrapText="1"/>
    </xf>
    <xf numFmtId="170" fontId="31" fillId="34" borderId="1" xfId="104" applyNumberFormat="1" applyFont="1" applyFill="1" applyBorder="1" applyAlignment="1">
      <alignment horizontal="center" vertical="center" wrapText="1"/>
    </xf>
    <xf numFmtId="0" fontId="34" fillId="34" borderId="1" xfId="61" applyFont="1" applyFill="1" applyBorder="1" applyAlignment="1">
      <alignment horizontal="center" vertical="center"/>
    </xf>
    <xf numFmtId="0" fontId="34" fillId="34" borderId="1" xfId="61" applyFont="1" applyFill="1" applyBorder="1" applyAlignment="1">
      <alignment vertical="center" wrapText="1"/>
    </xf>
    <xf numFmtId="10" fontId="34" fillId="34" borderId="1" xfId="61" applyNumberFormat="1" applyFont="1" applyFill="1" applyBorder="1" applyAlignment="1">
      <alignment horizontal="center" vertical="center" wrapText="1"/>
    </xf>
    <xf numFmtId="3" fontId="34" fillId="34" borderId="1" xfId="61" applyNumberFormat="1" applyFont="1" applyFill="1" applyBorder="1" applyAlignment="1">
      <alignment horizontal="center" vertical="center" wrapText="1"/>
    </xf>
    <xf numFmtId="3" fontId="34" fillId="34" borderId="0" xfId="0" applyNumberFormat="1" applyFont="1" applyFill="1"/>
    <xf numFmtId="0" fontId="34" fillId="34" borderId="1" xfId="0" applyFont="1" applyFill="1" applyBorder="1" applyAlignment="1">
      <alignment horizontal="left" vertical="center" wrapText="1"/>
    </xf>
    <xf numFmtId="167" fontId="34" fillId="34" borderId="1" xfId="0" applyNumberFormat="1" applyFont="1" applyFill="1" applyBorder="1" applyAlignment="1">
      <alignment horizontal="center" vertical="center" wrapText="1"/>
    </xf>
    <xf numFmtId="167" fontId="25" fillId="34" borderId="0" xfId="0" applyNumberFormat="1" applyFont="1" applyFill="1"/>
    <xf numFmtId="167" fontId="34" fillId="34" borderId="1" xfId="38" applyNumberFormat="1" applyFont="1" applyFill="1" applyBorder="1" applyAlignment="1">
      <alignment horizontal="center" vertical="center"/>
    </xf>
    <xf numFmtId="167" fontId="34" fillId="34" borderId="1" xfId="92" applyNumberFormat="1" applyFont="1" applyFill="1" applyBorder="1" applyAlignment="1">
      <alignment horizontal="center" vertical="center"/>
    </xf>
    <xf numFmtId="167" fontId="31" fillId="34" borderId="1" xfId="93" applyNumberFormat="1" applyFont="1" applyFill="1" applyBorder="1" applyAlignment="1">
      <alignment vertical="center" wrapText="1"/>
    </xf>
    <xf numFmtId="167" fontId="31" fillId="34" borderId="1" xfId="92" applyNumberFormat="1" applyFont="1" applyFill="1" applyBorder="1" applyAlignment="1">
      <alignment horizontal="center" vertical="center"/>
    </xf>
    <xf numFmtId="3" fontId="31" fillId="34" borderId="0" xfId="0" applyNumberFormat="1" applyFont="1" applyFill="1"/>
    <xf numFmtId="0" fontId="31" fillId="34" borderId="0" xfId="0" applyFont="1" applyFill="1"/>
    <xf numFmtId="167" fontId="31" fillId="34" borderId="0" xfId="0" applyNumberFormat="1" applyFont="1" applyFill="1"/>
    <xf numFmtId="0" fontId="31" fillId="34" borderId="1" xfId="0" applyFont="1" applyFill="1" applyBorder="1" applyAlignment="1">
      <alignment horizontal="left" vertical="center" wrapText="1"/>
    </xf>
    <xf numFmtId="3" fontId="34" fillId="34" borderId="1" xfId="0" applyNumberFormat="1" applyFont="1" applyFill="1" applyBorder="1" applyAlignment="1">
      <alignment horizontal="left" vertical="center" wrapText="1"/>
    </xf>
    <xf numFmtId="10" fontId="25" fillId="34" borderId="0" xfId="104" applyNumberFormat="1" applyFont="1" applyFill="1"/>
    <xf numFmtId="167" fontId="34" fillId="34" borderId="1" xfId="58" applyNumberFormat="1" applyFont="1" applyFill="1" applyBorder="1" applyAlignment="1">
      <alignment horizontal="center" vertical="center"/>
    </xf>
    <xf numFmtId="0" fontId="31" fillId="34" borderId="1" xfId="105" applyFont="1" applyFill="1" applyBorder="1" applyAlignment="1">
      <alignment horizontal="center" vertical="center"/>
    </xf>
    <xf numFmtId="0" fontId="31" fillId="34" borderId="1" xfId="62" applyFont="1" applyFill="1" applyBorder="1" applyAlignment="1">
      <alignment wrapText="1"/>
    </xf>
    <xf numFmtId="167" fontId="31" fillId="34" borderId="1" xfId="105" applyNumberFormat="1" applyFont="1" applyFill="1" applyBorder="1" applyAlignment="1">
      <alignment horizontal="center" vertical="center"/>
    </xf>
    <xf numFmtId="0" fontId="34" fillId="34" borderId="1" xfId="105" applyFont="1" applyFill="1" applyBorder="1" applyAlignment="1">
      <alignment horizontal="center" vertical="center"/>
    </xf>
    <xf numFmtId="0" fontId="31" fillId="34" borderId="1" xfId="105" applyFont="1" applyFill="1" applyBorder="1" applyAlignment="1">
      <alignment horizontal="center" vertical="center" wrapText="1"/>
    </xf>
    <xf numFmtId="0" fontId="31" fillId="34" borderId="1" xfId="105" applyFont="1" applyFill="1" applyBorder="1" applyAlignment="1">
      <alignment vertical="center" wrapText="1"/>
    </xf>
    <xf numFmtId="167" fontId="31" fillId="34" borderId="1" xfId="105" applyNumberFormat="1" applyFont="1" applyFill="1" applyBorder="1" applyAlignment="1">
      <alignment horizontal="center" vertical="center" shrinkToFit="1"/>
    </xf>
    <xf numFmtId="0" fontId="31" fillId="34" borderId="1" xfId="0" applyFont="1" applyFill="1" applyBorder="1" applyAlignment="1">
      <alignment vertical="center" wrapText="1"/>
    </xf>
    <xf numFmtId="167" fontId="31" fillId="34" borderId="1" xfId="0" applyNumberFormat="1" applyFont="1" applyFill="1" applyBorder="1" applyAlignment="1">
      <alignment horizontal="center" vertical="center" wrapText="1"/>
    </xf>
    <xf numFmtId="0" fontId="34" fillId="34" borderId="1" xfId="0" applyFont="1" applyFill="1" applyBorder="1" applyAlignment="1">
      <alignment vertical="center" wrapText="1"/>
    </xf>
    <xf numFmtId="0" fontId="36" fillId="34" borderId="1" xfId="0" applyFont="1" applyFill="1" applyBorder="1" applyAlignment="1">
      <alignment vertical="center" wrapText="1"/>
    </xf>
    <xf numFmtId="0" fontId="34" fillId="34" borderId="1" xfId="61" applyFont="1" applyFill="1" applyBorder="1" applyAlignment="1">
      <alignment horizontal="center" vertical="center" wrapText="1"/>
    </xf>
    <xf numFmtId="0" fontId="34" fillId="34" borderId="1" xfId="62" applyFont="1" applyFill="1" applyBorder="1" applyAlignment="1">
      <alignment horizontal="left" vertical="center" wrapText="1"/>
    </xf>
    <xf numFmtId="10" fontId="34" fillId="34" borderId="1" xfId="61" applyNumberFormat="1" applyFont="1" applyFill="1" applyBorder="1" applyAlignment="1">
      <alignment horizontal="center" vertical="center" shrinkToFit="1"/>
    </xf>
    <xf numFmtId="10" fontId="34" fillId="34" borderId="1" xfId="61" applyNumberFormat="1" applyFont="1" applyFill="1" applyBorder="1" applyAlignment="1">
      <alignment horizontal="center" vertical="center"/>
    </xf>
    <xf numFmtId="167" fontId="31" fillId="34" borderId="1" xfId="31" applyNumberFormat="1" applyFont="1" applyFill="1" applyBorder="1" applyAlignment="1">
      <alignment horizontal="center" vertical="center"/>
    </xf>
    <xf numFmtId="0" fontId="36" fillId="34" borderId="18" xfId="106" quotePrefix="1" applyFont="1" applyFill="1" applyBorder="1" applyAlignment="1">
      <alignment horizontal="left" vertical="center" wrapText="1"/>
    </xf>
    <xf numFmtId="3" fontId="31" fillId="34" borderId="1" xfId="61" applyNumberFormat="1" applyFont="1" applyFill="1" applyBorder="1" applyAlignment="1">
      <alignment horizontal="center" vertical="center"/>
    </xf>
    <xf numFmtId="0" fontId="31" fillId="34" borderId="1" xfId="61" applyFont="1" applyFill="1" applyBorder="1" applyAlignment="1">
      <alignment vertical="center"/>
    </xf>
    <xf numFmtId="10" fontId="31" fillId="34" borderId="1" xfId="31" applyNumberFormat="1" applyFont="1" applyFill="1" applyBorder="1" applyAlignment="1">
      <alignment horizontal="center" vertical="center"/>
    </xf>
    <xf numFmtId="167" fontId="31" fillId="34" borderId="1" xfId="93" applyNumberFormat="1" applyFont="1" applyFill="1" applyBorder="1" applyAlignment="1">
      <alignment horizontal="left" vertical="center" wrapText="1"/>
    </xf>
    <xf numFmtId="10" fontId="31" fillId="34" borderId="1" xfId="61" applyNumberFormat="1" applyFont="1" applyFill="1" applyBorder="1" applyAlignment="1">
      <alignment horizontal="center" vertical="center"/>
    </xf>
    <xf numFmtId="167" fontId="34" fillId="34" borderId="1" xfId="103" applyNumberFormat="1" applyFont="1" applyFill="1" applyBorder="1" applyAlignment="1">
      <alignment horizontal="center" vertical="center" wrapText="1"/>
    </xf>
    <xf numFmtId="0" fontId="25" fillId="34" borderId="0" xfId="0" applyFont="1" applyFill="1" applyAlignment="1">
      <alignment horizontal="center"/>
    </xf>
    <xf numFmtId="0" fontId="25" fillId="34" borderId="0" xfId="0" applyFont="1" applyFill="1" applyAlignment="1">
      <alignment wrapText="1"/>
    </xf>
    <xf numFmtId="167" fontId="25" fillId="34" borderId="0" xfId="0" applyNumberFormat="1" applyFont="1" applyFill="1" applyAlignment="1">
      <alignment horizontal="center"/>
    </xf>
    <xf numFmtId="10" fontId="25" fillId="34" borderId="0" xfId="0" applyNumberFormat="1" applyFont="1" applyFill="1"/>
    <xf numFmtId="3" fontId="44" fillId="34" borderId="0" xfId="0" applyNumberFormat="1" applyFont="1" applyFill="1"/>
    <xf numFmtId="0" fontId="44" fillId="34" borderId="0" xfId="0" applyFont="1" applyFill="1"/>
    <xf numFmtId="0" fontId="11" fillId="34" borderId="0" xfId="61" applyFill="1" applyAlignment="1">
      <alignment horizontal="center"/>
    </xf>
    <xf numFmtId="0" fontId="11" fillId="34" borderId="0" xfId="61" applyFill="1" applyAlignment="1">
      <alignment wrapText="1"/>
    </xf>
    <xf numFmtId="3" fontId="11" fillId="34" borderId="0" xfId="61" applyNumberFormat="1" applyFill="1" applyAlignment="1">
      <alignment horizontal="center" wrapText="1"/>
    </xf>
    <xf numFmtId="167" fontId="32" fillId="34" borderId="0" xfId="61" applyNumberFormat="1" applyFont="1" applyFill="1" applyAlignment="1">
      <alignment horizontal="center" vertical="center" wrapText="1"/>
    </xf>
    <xf numFmtId="10" fontId="32" fillId="34" borderId="0" xfId="61" applyNumberFormat="1" applyFont="1" applyFill="1" applyAlignment="1">
      <alignment horizontal="center" vertical="center" wrapText="1"/>
    </xf>
    <xf numFmtId="0" fontId="33" fillId="34" borderId="0" xfId="61" applyFont="1" applyFill="1" applyAlignment="1">
      <alignment horizontal="right"/>
    </xf>
    <xf numFmtId="9" fontId="31" fillId="34" borderId="1" xfId="61" applyNumberFormat="1" applyFont="1" applyFill="1" applyBorder="1" applyAlignment="1">
      <alignment horizontal="center" vertical="center" wrapText="1"/>
    </xf>
    <xf numFmtId="167" fontId="46" fillId="34" borderId="1" xfId="61" applyNumberFormat="1" applyFont="1" applyFill="1" applyBorder="1" applyAlignment="1">
      <alignment horizontal="center" vertical="center" wrapText="1"/>
    </xf>
    <xf numFmtId="9" fontId="34" fillId="34" borderId="1" xfId="61" applyNumberFormat="1" applyFont="1" applyFill="1" applyBorder="1" applyAlignment="1">
      <alignment horizontal="center" vertical="center" wrapText="1"/>
    </xf>
    <xf numFmtId="3" fontId="46" fillId="34" borderId="0" xfId="0" applyNumberFormat="1" applyFont="1" applyFill="1"/>
    <xf numFmtId="0" fontId="46" fillId="34" borderId="0" xfId="0" applyFont="1" applyFill="1"/>
    <xf numFmtId="167" fontId="46" fillId="34" borderId="0" xfId="0" applyNumberFormat="1" applyFont="1" applyFill="1"/>
    <xf numFmtId="0" fontId="39" fillId="34" borderId="1" xfId="61" applyFont="1" applyFill="1" applyBorder="1" applyAlignment="1">
      <alignment vertical="center" wrapText="1"/>
    </xf>
    <xf numFmtId="3" fontId="34" fillId="34" borderId="1" xfId="0" applyNumberFormat="1" applyFont="1" applyFill="1" applyBorder="1" applyAlignment="1">
      <alignment horizontal="center" vertical="center" wrapText="1"/>
    </xf>
    <xf numFmtId="167" fontId="34" fillId="34" borderId="1" xfId="55" applyNumberFormat="1" applyFont="1" applyFill="1" applyBorder="1" applyAlignment="1">
      <alignment horizontal="center" vertical="center" wrapText="1"/>
    </xf>
    <xf numFmtId="167" fontId="44" fillId="34" borderId="0" xfId="0" applyNumberFormat="1" applyFont="1" applyFill="1"/>
    <xf numFmtId="167" fontId="47" fillId="34" borderId="1" xfId="93" applyNumberFormat="1" applyFont="1" applyFill="1" applyBorder="1" applyAlignment="1">
      <alignment vertical="center" wrapText="1"/>
    </xf>
    <xf numFmtId="3" fontId="31" fillId="34" borderId="1" xfId="0" applyNumberFormat="1" applyFont="1" applyFill="1" applyBorder="1" applyAlignment="1">
      <alignment horizontal="center" vertical="center" wrapText="1"/>
    </xf>
    <xf numFmtId="3" fontId="39" fillId="34" borderId="0" xfId="0" applyNumberFormat="1" applyFont="1" applyFill="1"/>
    <xf numFmtId="0" fontId="39" fillId="34" borderId="0" xfId="0" applyFont="1" applyFill="1"/>
    <xf numFmtId="167" fontId="39" fillId="34" borderId="0" xfId="0" applyNumberFormat="1" applyFont="1" applyFill="1"/>
    <xf numFmtId="3" fontId="48" fillId="34" borderId="0" xfId="0" applyNumberFormat="1" applyFont="1" applyFill="1"/>
    <xf numFmtId="0" fontId="48" fillId="34" borderId="0" xfId="0" applyFont="1" applyFill="1"/>
    <xf numFmtId="167" fontId="48" fillId="34" borderId="0" xfId="0" applyNumberFormat="1" applyFont="1" applyFill="1"/>
    <xf numFmtId="167" fontId="31" fillId="34" borderId="1" xfId="58" applyNumberFormat="1" applyFont="1" applyFill="1" applyBorder="1" applyAlignment="1">
      <alignment horizontal="center" vertical="center"/>
    </xf>
    <xf numFmtId="0" fontId="31" fillId="34" borderId="1" xfId="58" applyFont="1" applyFill="1" applyBorder="1" applyAlignment="1">
      <alignment horizontal="center" vertical="center"/>
    </xf>
    <xf numFmtId="3" fontId="31" fillId="34" borderId="1" xfId="62" applyNumberFormat="1" applyFont="1" applyFill="1" applyBorder="1" applyAlignment="1">
      <alignment horizontal="center"/>
    </xf>
    <xf numFmtId="0" fontId="34" fillId="34" borderId="1" xfId="58" applyFont="1" applyFill="1" applyBorder="1" applyAlignment="1">
      <alignment horizontal="center" vertical="center"/>
    </xf>
    <xf numFmtId="167" fontId="31" fillId="34" borderId="1" xfId="58" applyNumberFormat="1" applyFont="1" applyFill="1" applyBorder="1" applyAlignment="1">
      <alignment horizontal="center" vertical="center" wrapText="1"/>
    </xf>
    <xf numFmtId="0" fontId="31" fillId="34" borderId="1" xfId="58" applyFont="1" applyFill="1" applyBorder="1" applyAlignment="1">
      <alignment horizontal="center" vertical="center" wrapText="1"/>
    </xf>
    <xf numFmtId="0" fontId="31" fillId="34" borderId="1" xfId="58" applyFont="1" applyFill="1" applyBorder="1" applyAlignment="1">
      <alignment vertical="center" wrapText="1"/>
    </xf>
    <xf numFmtId="3" fontId="31" fillId="34" borderId="1" xfId="58" applyNumberFormat="1" applyFont="1" applyFill="1" applyBorder="1" applyAlignment="1">
      <alignment horizontal="center" vertical="center" wrapText="1"/>
    </xf>
    <xf numFmtId="167" fontId="31" fillId="34" borderId="1" xfId="58" applyNumberFormat="1" applyFont="1" applyFill="1" applyBorder="1" applyAlignment="1">
      <alignment horizontal="center" vertical="center" shrinkToFit="1"/>
    </xf>
    <xf numFmtId="9" fontId="34" fillId="34" borderId="1" xfId="61" applyNumberFormat="1" applyFont="1" applyFill="1" applyBorder="1" applyAlignment="1">
      <alignment horizontal="center" vertical="center" shrinkToFit="1"/>
    </xf>
    <xf numFmtId="9" fontId="34" fillId="34" borderId="1" xfId="61" applyNumberFormat="1" applyFont="1" applyFill="1" applyBorder="1" applyAlignment="1">
      <alignment horizontal="center" vertical="center"/>
    </xf>
    <xf numFmtId="9" fontId="34" fillId="34" borderId="1" xfId="61" applyNumberFormat="1" applyFont="1" applyFill="1" applyBorder="1" applyAlignment="1">
      <alignment horizontal="left" vertical="center" wrapText="1"/>
    </xf>
    <xf numFmtId="167" fontId="31" fillId="34" borderId="1" xfId="61" applyNumberFormat="1" applyFont="1" applyFill="1" applyBorder="1" applyAlignment="1">
      <alignment horizontal="center" vertical="center"/>
    </xf>
    <xf numFmtId="168" fontId="49" fillId="34" borderId="18" xfId="29" applyNumberFormat="1" applyFont="1" applyFill="1" applyBorder="1" applyAlignment="1">
      <alignment horizontal="center" vertical="center"/>
    </xf>
    <xf numFmtId="9" fontId="31" fillId="34" borderId="1" xfId="31" applyNumberFormat="1" applyFont="1" applyFill="1" applyBorder="1" applyAlignment="1">
      <alignment horizontal="center" vertical="center"/>
    </xf>
    <xf numFmtId="167" fontId="46" fillId="34" borderId="1" xfId="0" applyNumberFormat="1" applyFont="1" applyFill="1" applyBorder="1" applyAlignment="1">
      <alignment horizontal="center" vertical="center" wrapText="1"/>
    </xf>
    <xf numFmtId="167" fontId="36" fillId="34" borderId="1" xfId="0" applyNumberFormat="1" applyFont="1" applyFill="1" applyBorder="1" applyAlignment="1">
      <alignment horizontal="center" vertical="center" wrapText="1"/>
    </xf>
    <xf numFmtId="10" fontId="31" fillId="34" borderId="1" xfId="61" quotePrefix="1" applyNumberFormat="1" applyFont="1" applyFill="1" applyBorder="1" applyAlignment="1">
      <alignment horizontal="left" vertical="center" wrapText="1"/>
    </xf>
    <xf numFmtId="167" fontId="34" fillId="34" borderId="1" xfId="93" applyNumberFormat="1" applyFont="1" applyFill="1" applyBorder="1" applyAlignment="1">
      <alignment horizontal="right" vertical="center" wrapText="1"/>
    </xf>
    <xf numFmtId="0" fontId="44" fillId="34" borderId="0" xfId="0" applyFont="1" applyFill="1" applyAlignment="1">
      <alignment horizontal="center"/>
    </xf>
    <xf numFmtId="0" fontId="44" fillId="34" borderId="0" xfId="0" applyFont="1" applyFill="1" applyAlignment="1">
      <alignment wrapText="1"/>
    </xf>
    <xf numFmtId="3" fontId="44" fillId="34" borderId="0" xfId="0" applyNumberFormat="1" applyFont="1" applyFill="1" applyAlignment="1">
      <alignment horizontal="center" wrapText="1"/>
    </xf>
    <xf numFmtId="167" fontId="44" fillId="34" borderId="0" xfId="0" applyNumberFormat="1" applyFont="1" applyFill="1" applyAlignment="1">
      <alignment horizontal="center"/>
    </xf>
    <xf numFmtId="10" fontId="44" fillId="34" borderId="0" xfId="0" applyNumberFormat="1" applyFont="1" applyFill="1"/>
    <xf numFmtId="0" fontId="36" fillId="34" borderId="0" xfId="0" applyFont="1" applyFill="1"/>
    <xf numFmtId="0" fontId="41" fillId="34" borderId="0" xfId="93" applyFont="1" applyFill="1"/>
    <xf numFmtId="169" fontId="41" fillId="34" borderId="0" xfId="93" applyNumberFormat="1" applyFont="1" applyFill="1"/>
    <xf numFmtId="169" fontId="36" fillId="34" borderId="0" xfId="93" applyNumberFormat="1" applyFont="1" applyFill="1" applyAlignment="1">
      <alignment horizontal="right" vertical="center" wrapText="1"/>
    </xf>
    <xf numFmtId="167" fontId="31" fillId="34" borderId="1" xfId="93" applyNumberFormat="1" applyFont="1" applyFill="1" applyBorder="1" applyAlignment="1">
      <alignment horizontal="center" vertical="center" wrapText="1"/>
    </xf>
    <xf numFmtId="167" fontId="34" fillId="34" borderId="1" xfId="93" applyNumberFormat="1" applyFont="1" applyFill="1" applyBorder="1" applyAlignment="1">
      <alignment horizontal="center" vertical="center" wrapText="1"/>
    </xf>
    <xf numFmtId="167" fontId="31" fillId="34" borderId="1" xfId="93" applyNumberFormat="1" applyFont="1" applyFill="1" applyBorder="1" applyAlignment="1">
      <alignment horizontal="right" vertical="center" wrapText="1"/>
    </xf>
    <xf numFmtId="10" fontId="31" fillId="34" borderId="1" xfId="93" applyNumberFormat="1" applyFont="1" applyFill="1" applyBorder="1" applyAlignment="1">
      <alignment horizontal="center" vertical="center" wrapText="1"/>
    </xf>
    <xf numFmtId="3" fontId="50" fillId="34" borderId="0" xfId="0" applyNumberFormat="1" applyFont="1" applyFill="1"/>
    <xf numFmtId="3" fontId="34" fillId="34" borderId="1" xfId="93" applyNumberFormat="1" applyFont="1" applyFill="1" applyBorder="1" applyAlignment="1">
      <alignment horizontal="center" vertical="center" wrapText="1"/>
    </xf>
    <xf numFmtId="10" fontId="34" fillId="34" borderId="1" xfId="93" applyNumberFormat="1" applyFont="1" applyFill="1" applyBorder="1" applyAlignment="1">
      <alignment horizontal="center" vertical="center" wrapText="1"/>
    </xf>
    <xf numFmtId="167" fontId="34" fillId="34" borderId="0" xfId="0" applyNumberFormat="1" applyFont="1" applyFill="1"/>
    <xf numFmtId="167" fontId="34" fillId="34" borderId="1" xfId="93" applyNumberFormat="1" applyFont="1" applyFill="1" applyBorder="1" applyAlignment="1">
      <alignment vertical="center" wrapText="1"/>
    </xf>
    <xf numFmtId="3" fontId="31" fillId="34" borderId="1" xfId="93" applyNumberFormat="1" applyFont="1" applyFill="1" applyBorder="1" applyAlignment="1">
      <alignment horizontal="center" vertical="center" wrapText="1"/>
    </xf>
    <xf numFmtId="167" fontId="31" fillId="34" borderId="1" xfId="93" quotePrefix="1" applyNumberFormat="1" applyFont="1" applyFill="1" applyBorder="1" applyAlignment="1">
      <alignment horizontal="center" vertical="center" wrapText="1"/>
    </xf>
    <xf numFmtId="167" fontId="34" fillId="34" borderId="1" xfId="93" applyNumberFormat="1" applyFont="1" applyFill="1" applyBorder="1" applyAlignment="1">
      <alignment horizontal="left" vertical="center" wrapText="1"/>
    </xf>
    <xf numFmtId="167" fontId="34" fillId="34" borderId="1" xfId="93" quotePrefix="1" applyNumberFormat="1" applyFont="1" applyFill="1" applyBorder="1" applyAlignment="1">
      <alignment horizontal="center" vertical="center" wrapText="1"/>
    </xf>
    <xf numFmtId="169" fontId="25" fillId="34" borderId="0" xfId="0" applyNumberFormat="1" applyFont="1" applyFill="1"/>
    <xf numFmtId="0" fontId="50" fillId="34" borderId="0" xfId="0" applyFont="1" applyFill="1"/>
    <xf numFmtId="167" fontId="41" fillId="34" borderId="1" xfId="93" applyNumberFormat="1" applyFont="1" applyFill="1" applyBorder="1" applyAlignment="1">
      <alignment vertical="center" wrapText="1"/>
    </xf>
    <xf numFmtId="167" fontId="38" fillId="34" borderId="1" xfId="61" applyNumberFormat="1" applyFont="1" applyFill="1" applyBorder="1" applyAlignment="1">
      <alignment horizontal="center" vertical="center" wrapText="1"/>
    </xf>
    <xf numFmtId="3" fontId="52" fillId="34" borderId="0" xfId="0" applyNumberFormat="1" applyFont="1" applyFill="1"/>
    <xf numFmtId="0" fontId="52" fillId="34" borderId="0" xfId="0" applyFont="1" applyFill="1"/>
    <xf numFmtId="0" fontId="54" fillId="34" borderId="0" xfId="61" applyFont="1" applyFill="1" applyAlignment="1">
      <alignment horizontal="center"/>
    </xf>
    <xf numFmtId="0" fontId="54" fillId="34" borderId="0" xfId="61" applyFont="1" applyFill="1" applyAlignment="1">
      <alignment wrapText="1"/>
    </xf>
    <xf numFmtId="167" fontId="55" fillId="34" borderId="0" xfId="61" applyNumberFormat="1" applyFont="1" applyFill="1" applyAlignment="1">
      <alignment horizontal="center" vertical="center" wrapText="1"/>
    </xf>
    <xf numFmtId="10" fontId="55" fillId="34" borderId="0" xfId="61" applyNumberFormat="1" applyFont="1" applyFill="1" applyAlignment="1">
      <alignment horizontal="center" vertical="center" wrapText="1"/>
    </xf>
    <xf numFmtId="0" fontId="56" fillId="34" borderId="0" xfId="61" applyFont="1" applyFill="1" applyAlignment="1">
      <alignment horizontal="right"/>
    </xf>
    <xf numFmtId="0" fontId="57" fillId="34" borderId="1" xfId="61" applyFont="1" applyFill="1" applyBorder="1" applyAlignment="1">
      <alignment horizontal="center" vertical="center" wrapText="1"/>
    </xf>
    <xf numFmtId="167" fontId="57" fillId="34" borderId="1" xfId="61" applyNumberFormat="1" applyFont="1" applyFill="1" applyBorder="1" applyAlignment="1">
      <alignment horizontal="center" vertical="center" wrapText="1"/>
    </xf>
    <xf numFmtId="167" fontId="57" fillId="34" borderId="1" xfId="92" applyNumberFormat="1" applyFont="1" applyFill="1" applyBorder="1" applyAlignment="1">
      <alignment horizontal="center" vertical="center" wrapText="1"/>
    </xf>
    <xf numFmtId="0" fontId="57" fillId="34" borderId="1" xfId="61" applyFont="1" applyFill="1" applyBorder="1" applyAlignment="1">
      <alignment horizontal="center" vertical="center"/>
    </xf>
    <xf numFmtId="10" fontId="57" fillId="34" borderId="1" xfId="61" applyNumberFormat="1" applyFont="1" applyFill="1" applyBorder="1" applyAlignment="1">
      <alignment horizontal="center" vertical="center" wrapText="1"/>
    </xf>
    <xf numFmtId="9" fontId="57" fillId="34" borderId="1" xfId="61" applyNumberFormat="1" applyFont="1" applyFill="1" applyBorder="1" applyAlignment="1">
      <alignment horizontal="center" vertical="center" wrapText="1"/>
    </xf>
    <xf numFmtId="3" fontId="57" fillId="34" borderId="1" xfId="61" applyNumberFormat="1" applyFont="1" applyFill="1" applyBorder="1" applyAlignment="1">
      <alignment horizontal="center" vertical="center" wrapText="1"/>
    </xf>
    <xf numFmtId="0" fontId="57" fillId="34" borderId="1" xfId="61" applyFont="1" applyFill="1" applyBorder="1" applyAlignment="1">
      <alignment vertical="center" wrapText="1"/>
    </xf>
    <xf numFmtId="0" fontId="59" fillId="34" borderId="1" xfId="0" applyFont="1" applyFill="1" applyBorder="1" applyAlignment="1">
      <alignment horizontal="left" vertical="center" wrapText="1"/>
    </xf>
    <xf numFmtId="0" fontId="9" fillId="34" borderId="1" xfId="61" applyFont="1" applyFill="1" applyBorder="1" applyAlignment="1">
      <alignment horizontal="center" vertical="center"/>
    </xf>
    <xf numFmtId="0" fontId="9" fillId="34" borderId="0" xfId="0" applyFont="1" applyFill="1" applyAlignment="1">
      <alignment vertical="center" wrapText="1"/>
    </xf>
    <xf numFmtId="167" fontId="9" fillId="34" borderId="1" xfId="61" applyNumberFormat="1" applyFont="1" applyFill="1" applyBorder="1" applyAlignment="1">
      <alignment horizontal="center" vertical="center" wrapText="1"/>
    </xf>
    <xf numFmtId="10" fontId="9" fillId="34" borderId="1" xfId="61" applyNumberFormat="1" applyFont="1" applyFill="1" applyBorder="1" applyAlignment="1">
      <alignment horizontal="center" vertical="center" wrapText="1"/>
    </xf>
    <xf numFmtId="9" fontId="9" fillId="34" borderId="1" xfId="61" applyNumberFormat="1" applyFont="1" applyFill="1" applyBorder="1" applyAlignment="1">
      <alignment horizontal="center" vertical="center" wrapText="1"/>
    </xf>
    <xf numFmtId="3" fontId="9" fillId="34" borderId="1" xfId="61" applyNumberFormat="1" applyFont="1" applyFill="1" applyBorder="1" applyAlignment="1">
      <alignment horizontal="center" vertical="center" wrapText="1"/>
    </xf>
    <xf numFmtId="3" fontId="60" fillId="34" borderId="0" xfId="0" applyNumberFormat="1" applyFont="1" applyFill="1"/>
    <xf numFmtId="0" fontId="60" fillId="34" borderId="0" xfId="0" applyFont="1" applyFill="1"/>
    <xf numFmtId="0" fontId="9" fillId="34" borderId="1" xfId="74" applyFont="1" applyFill="1" applyBorder="1" applyAlignment="1">
      <alignment vertical="center" wrapText="1"/>
    </xf>
    <xf numFmtId="0" fontId="9" fillId="34" borderId="1" xfId="0" quotePrefix="1" applyFont="1" applyFill="1" applyBorder="1" applyAlignment="1">
      <alignment horizontal="left" vertical="center" wrapText="1"/>
    </xf>
    <xf numFmtId="0" fontId="9" fillId="0" borderId="1" xfId="0" quotePrefix="1" applyFont="1" applyBorder="1" applyAlignment="1">
      <alignment horizontal="left" vertical="center" wrapText="1"/>
    </xf>
    <xf numFmtId="0" fontId="59" fillId="34" borderId="1" xfId="61" applyFont="1" applyFill="1" applyBorder="1" applyAlignment="1">
      <alignment vertical="center" wrapText="1"/>
    </xf>
    <xf numFmtId="3" fontId="61" fillId="34" borderId="0" xfId="0" applyNumberFormat="1" applyFont="1" applyFill="1" applyAlignment="1">
      <alignment vertical="center" wrapText="1"/>
    </xf>
    <xf numFmtId="0" fontId="62" fillId="34" borderId="1" xfId="74" applyFont="1" applyFill="1" applyBorder="1" applyAlignment="1">
      <alignment horizontal="justify" vertical="center" wrapText="1"/>
    </xf>
    <xf numFmtId="167" fontId="9" fillId="34" borderId="1" xfId="0" applyNumberFormat="1" applyFont="1" applyFill="1" applyBorder="1" applyAlignment="1">
      <alignment horizontal="center" vertical="center" wrapText="1"/>
    </xf>
    <xf numFmtId="10" fontId="9" fillId="34" borderId="1" xfId="61" quotePrefix="1" applyNumberFormat="1" applyFont="1" applyFill="1" applyBorder="1" applyAlignment="1">
      <alignment horizontal="left" vertical="center" wrapText="1"/>
    </xf>
    <xf numFmtId="0" fontId="59" fillId="34" borderId="0" xfId="0" applyFont="1" applyFill="1"/>
    <xf numFmtId="0" fontId="9" fillId="34" borderId="1" xfId="74" applyFont="1" applyFill="1" applyBorder="1" applyAlignment="1">
      <alignment horizontal="left" vertical="center" wrapText="1"/>
    </xf>
    <xf numFmtId="0" fontId="34" fillId="34" borderId="1" xfId="0" quotePrefix="1" applyFont="1" applyFill="1" applyBorder="1" applyAlignment="1">
      <alignment horizontal="left" vertical="center" wrapText="1"/>
    </xf>
    <xf numFmtId="167" fontId="52" fillId="34" borderId="0" xfId="0" applyNumberFormat="1" applyFont="1" applyFill="1"/>
    <xf numFmtId="167" fontId="9" fillId="34" borderId="1" xfId="38" applyNumberFormat="1" applyFont="1" applyFill="1" applyBorder="1" applyAlignment="1">
      <alignment horizontal="center" vertical="center"/>
    </xf>
    <xf numFmtId="0" fontId="34" fillId="0" borderId="1" xfId="0" quotePrefix="1" applyFont="1" applyBorder="1" applyAlignment="1">
      <alignment horizontal="left" vertical="center" wrapText="1"/>
    </xf>
    <xf numFmtId="0" fontId="52" fillId="34" borderId="0" xfId="0" applyFont="1" applyFill="1" applyAlignment="1">
      <alignment horizontal="center"/>
    </xf>
    <xf numFmtId="0" fontId="52" fillId="34" borderId="0" xfId="0" applyFont="1" applyFill="1" applyAlignment="1">
      <alignment wrapText="1"/>
    </xf>
    <xf numFmtId="167" fontId="52" fillId="34" borderId="0" xfId="0" applyNumberFormat="1" applyFont="1" applyFill="1" applyAlignment="1">
      <alignment horizontal="center"/>
    </xf>
    <xf numFmtId="10" fontId="52" fillId="34" borderId="0" xfId="0" applyNumberFormat="1" applyFont="1" applyFill="1"/>
    <xf numFmtId="3" fontId="57" fillId="34" borderId="1" xfId="93" applyNumberFormat="1" applyFont="1" applyFill="1" applyBorder="1" applyAlignment="1">
      <alignment horizontal="center" vertical="center" wrapText="1"/>
    </xf>
    <xf numFmtId="167" fontId="57" fillId="34" borderId="1" xfId="93" applyNumberFormat="1" applyFont="1" applyFill="1" applyBorder="1" applyAlignment="1">
      <alignment horizontal="left" vertical="center" wrapText="1"/>
    </xf>
    <xf numFmtId="3" fontId="9" fillId="34" borderId="1" xfId="93" applyNumberFormat="1" applyFont="1" applyFill="1" applyBorder="1" applyAlignment="1">
      <alignment horizontal="center" vertical="center" wrapText="1"/>
    </xf>
    <xf numFmtId="167" fontId="9" fillId="34" borderId="1" xfId="93" applyNumberFormat="1" applyFont="1" applyFill="1" applyBorder="1" applyAlignment="1">
      <alignment horizontal="left" vertical="center" wrapText="1"/>
    </xf>
    <xf numFmtId="167" fontId="57" fillId="34" borderId="1" xfId="93" applyNumberFormat="1" applyFont="1" applyFill="1" applyBorder="1" applyAlignment="1">
      <alignment horizontal="right" vertical="center" wrapText="1"/>
    </xf>
    <xf numFmtId="167" fontId="9" fillId="34" borderId="1" xfId="93" applyNumberFormat="1" applyFont="1" applyFill="1" applyBorder="1" applyAlignment="1">
      <alignment horizontal="right" vertical="center" wrapText="1"/>
    </xf>
    <xf numFmtId="167" fontId="57" fillId="34" borderId="1" xfId="93" applyNumberFormat="1" applyFont="1" applyFill="1" applyBorder="1" applyAlignment="1">
      <alignment horizontal="center" vertical="center" wrapText="1"/>
    </xf>
    <xf numFmtId="0" fontId="0" fillId="34" borderId="0" xfId="0" applyFill="1"/>
    <xf numFmtId="0" fontId="63" fillId="34" borderId="0" xfId="0" applyFont="1" applyFill="1"/>
    <xf numFmtId="0" fontId="64" fillId="34" borderId="0" xfId="0" applyFont="1" applyFill="1"/>
    <xf numFmtId="9" fontId="9" fillId="34" borderId="1" xfId="61" applyNumberFormat="1" applyFont="1" applyFill="1" applyBorder="1" applyAlignment="1">
      <alignment horizontal="left" vertical="center" wrapText="1"/>
    </xf>
    <xf numFmtId="10" fontId="9" fillId="34" borderId="1" xfId="61" applyNumberFormat="1" applyFont="1" applyFill="1" applyBorder="1" applyAlignment="1">
      <alignment horizontal="center" vertical="center"/>
    </xf>
    <xf numFmtId="167" fontId="31" fillId="34" borderId="1" xfId="93" applyNumberFormat="1" applyFont="1" applyFill="1" applyBorder="1" applyAlignment="1">
      <alignment horizontal="center" vertical="center" wrapText="1"/>
    </xf>
    <xf numFmtId="0" fontId="40" fillId="34" borderId="0" xfId="93" applyFont="1" applyFill="1" applyAlignment="1">
      <alignment horizontal="center" vertical="center" wrapText="1"/>
    </xf>
    <xf numFmtId="0" fontId="36" fillId="34" borderId="0" xfId="93" applyFont="1" applyFill="1" applyAlignment="1">
      <alignment horizontal="center" vertical="center" wrapText="1"/>
    </xf>
    <xf numFmtId="10" fontId="36" fillId="34" borderId="5" xfId="93" applyNumberFormat="1" applyFont="1" applyFill="1" applyBorder="1" applyAlignment="1">
      <alignment horizontal="right" vertical="center" wrapText="1"/>
    </xf>
    <xf numFmtId="167" fontId="41" fillId="34" borderId="1" xfId="93" applyNumberFormat="1" applyFont="1" applyFill="1" applyBorder="1" applyAlignment="1">
      <alignment vertical="center" wrapText="1"/>
    </xf>
    <xf numFmtId="169" fontId="31" fillId="34" borderId="1" xfId="93" applyNumberFormat="1" applyFont="1" applyFill="1" applyBorder="1" applyAlignment="1">
      <alignment horizontal="center" vertical="center" wrapText="1"/>
    </xf>
    <xf numFmtId="167" fontId="41" fillId="34" borderId="1" xfId="93" applyNumberFormat="1" applyFont="1" applyFill="1" applyBorder="1" applyAlignment="1">
      <alignment horizontal="center" vertical="center" wrapText="1"/>
    </xf>
    <xf numFmtId="167" fontId="31" fillId="34" borderId="1" xfId="92" applyNumberFormat="1" applyFont="1" applyFill="1" applyBorder="1" applyAlignment="1">
      <alignment horizontal="center" vertical="center" wrapText="1"/>
    </xf>
    <xf numFmtId="10" fontId="31" fillId="34" borderId="1" xfId="92" applyNumberFormat="1" applyFont="1" applyFill="1" applyBorder="1" applyAlignment="1">
      <alignment horizontal="center" vertical="center" wrapText="1"/>
    </xf>
    <xf numFmtId="0" fontId="42" fillId="34" borderId="0" xfId="61" applyFont="1" applyFill="1" applyAlignment="1">
      <alignment horizontal="center" wrapText="1"/>
    </xf>
    <xf numFmtId="0" fontId="36" fillId="34" borderId="0" xfId="61" applyFont="1" applyFill="1" applyAlignment="1">
      <alignment horizontal="center"/>
    </xf>
    <xf numFmtId="0" fontId="31" fillId="34" borderId="1" xfId="61" applyFont="1" applyFill="1" applyBorder="1" applyAlignment="1">
      <alignment horizontal="center" vertical="center" wrapText="1"/>
    </xf>
    <xf numFmtId="167" fontId="31" fillId="34" borderId="16" xfId="61" applyNumberFormat="1" applyFont="1" applyFill="1" applyBorder="1" applyAlignment="1">
      <alignment horizontal="center" vertical="center" wrapText="1"/>
    </xf>
    <xf numFmtId="167" fontId="31" fillId="34" borderId="17" xfId="61" applyNumberFormat="1" applyFont="1" applyFill="1" applyBorder="1" applyAlignment="1">
      <alignment horizontal="center" vertical="center" wrapText="1"/>
    </xf>
    <xf numFmtId="167" fontId="31" fillId="34" borderId="2" xfId="61" applyNumberFormat="1" applyFont="1" applyFill="1" applyBorder="1" applyAlignment="1">
      <alignment horizontal="center" vertical="center" wrapText="1"/>
    </xf>
    <xf numFmtId="0" fontId="31" fillId="34" borderId="1" xfId="0" applyFont="1" applyFill="1" applyBorder="1" applyAlignment="1">
      <alignment horizontal="center" vertical="center" wrapText="1"/>
    </xf>
    <xf numFmtId="0" fontId="31" fillId="34" borderId="16" xfId="0" applyFont="1" applyFill="1" applyBorder="1" applyAlignment="1">
      <alignment horizontal="center" vertical="center" wrapText="1"/>
    </xf>
    <xf numFmtId="0" fontId="31" fillId="34" borderId="2" xfId="0" applyFont="1" applyFill="1" applyBorder="1" applyAlignment="1">
      <alignment horizontal="center" vertical="center" wrapText="1"/>
    </xf>
    <xf numFmtId="167" fontId="31" fillId="34" borderId="4" xfId="61" applyNumberFormat="1" applyFont="1" applyFill="1" applyBorder="1" applyAlignment="1">
      <alignment horizontal="center" vertical="center" wrapText="1"/>
    </xf>
    <xf numFmtId="167" fontId="31" fillId="34" borderId="6" xfId="61" applyNumberFormat="1" applyFont="1" applyFill="1" applyBorder="1" applyAlignment="1">
      <alignment horizontal="center" vertical="center" wrapText="1"/>
    </xf>
    <xf numFmtId="167" fontId="31" fillId="34" borderId="3" xfId="61" applyNumberFormat="1" applyFont="1" applyFill="1" applyBorder="1" applyAlignment="1">
      <alignment horizontal="center" vertical="center" wrapText="1"/>
    </xf>
    <xf numFmtId="0" fontId="31" fillId="34" borderId="4" xfId="0" applyFont="1" applyFill="1" applyBorder="1" applyAlignment="1">
      <alignment horizontal="center" vertical="center" wrapText="1"/>
    </xf>
    <xf numFmtId="0" fontId="31" fillId="34" borderId="3" xfId="0" applyFont="1" applyFill="1" applyBorder="1" applyAlignment="1">
      <alignment horizontal="center" vertical="center" wrapText="1"/>
    </xf>
    <xf numFmtId="167" fontId="31" fillId="34" borderId="4" xfId="92" applyNumberFormat="1" applyFont="1" applyFill="1" applyBorder="1" applyAlignment="1">
      <alignment horizontal="center" vertical="center" wrapText="1"/>
    </xf>
    <xf numFmtId="167" fontId="31" fillId="34" borderId="3" xfId="92" applyNumberFormat="1" applyFont="1" applyFill="1" applyBorder="1" applyAlignment="1">
      <alignment horizontal="center" vertical="center" wrapText="1"/>
    </xf>
    <xf numFmtId="167" fontId="31" fillId="34" borderId="16" xfId="92" applyNumberFormat="1" applyFont="1" applyFill="1" applyBorder="1" applyAlignment="1">
      <alignment horizontal="center" vertical="center" wrapText="1"/>
    </xf>
    <xf numFmtId="167" fontId="31" fillId="34" borderId="17" xfId="92" applyNumberFormat="1" applyFont="1" applyFill="1" applyBorder="1" applyAlignment="1">
      <alignment horizontal="center" vertical="center" wrapText="1"/>
    </xf>
    <xf numFmtId="167" fontId="31" fillId="34" borderId="2" xfId="92" applyNumberFormat="1" applyFont="1" applyFill="1" applyBorder="1" applyAlignment="1">
      <alignment horizontal="center" vertical="center" wrapText="1"/>
    </xf>
    <xf numFmtId="167" fontId="31" fillId="34" borderId="6" xfId="92" applyNumberFormat="1" applyFont="1" applyFill="1" applyBorder="1" applyAlignment="1">
      <alignment horizontal="center" vertical="center" wrapText="1"/>
    </xf>
    <xf numFmtId="10" fontId="31" fillId="34" borderId="4" xfId="92" applyNumberFormat="1" applyFont="1" applyFill="1" applyBorder="1" applyAlignment="1">
      <alignment horizontal="center" vertical="center" wrapText="1"/>
    </xf>
    <xf numFmtId="10" fontId="31" fillId="34" borderId="6" xfId="92" applyNumberFormat="1" applyFont="1" applyFill="1" applyBorder="1" applyAlignment="1">
      <alignment horizontal="center" vertical="center" wrapText="1"/>
    </xf>
    <xf numFmtId="10" fontId="31" fillId="34" borderId="3" xfId="92" applyNumberFormat="1" applyFont="1" applyFill="1" applyBorder="1" applyAlignment="1">
      <alignment horizontal="center" vertical="center" wrapText="1"/>
    </xf>
    <xf numFmtId="0" fontId="42" fillId="34" borderId="0" xfId="61" applyFont="1" applyFill="1" applyAlignment="1">
      <alignment horizontal="center"/>
    </xf>
    <xf numFmtId="0" fontId="40" fillId="34" borderId="0" xfId="61" applyFont="1" applyFill="1" applyAlignment="1">
      <alignment horizontal="center" wrapText="1"/>
    </xf>
    <xf numFmtId="0" fontId="43" fillId="34" borderId="0" xfId="61" applyFont="1" applyFill="1" applyAlignment="1">
      <alignment horizontal="center"/>
    </xf>
    <xf numFmtId="167" fontId="41" fillId="34" borderId="1" xfId="92" applyNumberFormat="1" applyFont="1" applyFill="1" applyBorder="1" applyAlignment="1">
      <alignment vertical="center" wrapText="1"/>
    </xf>
    <xf numFmtId="167" fontId="31" fillId="34" borderId="1" xfId="61" applyNumberFormat="1" applyFont="1" applyFill="1" applyBorder="1" applyAlignment="1">
      <alignment horizontal="center" vertical="center" wrapText="1"/>
    </xf>
    <xf numFmtId="3" fontId="31" fillId="34" borderId="4" xfId="61" applyNumberFormat="1" applyFont="1" applyFill="1" applyBorder="1" applyAlignment="1">
      <alignment horizontal="center" vertical="center" wrapText="1"/>
    </xf>
    <xf numFmtId="3" fontId="31" fillId="34" borderId="6" xfId="61" applyNumberFormat="1" applyFont="1" applyFill="1" applyBorder="1" applyAlignment="1">
      <alignment horizontal="center" vertical="center" wrapText="1"/>
    </xf>
    <xf numFmtId="3" fontId="31" fillId="34" borderId="3" xfId="61" applyNumberFormat="1" applyFont="1" applyFill="1" applyBorder="1" applyAlignment="1">
      <alignment horizontal="center" vertical="center" wrapText="1"/>
    </xf>
    <xf numFmtId="0" fontId="51" fillId="34" borderId="0" xfId="61" applyFont="1" applyFill="1" applyAlignment="1">
      <alignment horizontal="center" wrapText="1"/>
    </xf>
    <xf numFmtId="0" fontId="53" fillId="34" borderId="0" xfId="61" applyFont="1" applyFill="1" applyAlignment="1">
      <alignment horizontal="center"/>
    </xf>
    <xf numFmtId="0" fontId="57" fillId="34" borderId="1" xfId="61" applyFont="1" applyFill="1" applyBorder="1" applyAlignment="1">
      <alignment horizontal="center" vertical="center" wrapText="1"/>
    </xf>
    <xf numFmtId="167" fontId="57" fillId="34" borderId="1" xfId="61" applyNumberFormat="1" applyFont="1" applyFill="1" applyBorder="1" applyAlignment="1">
      <alignment horizontal="center" vertical="center" wrapText="1"/>
    </xf>
    <xf numFmtId="167" fontId="57" fillId="34" borderId="1" xfId="92" applyNumberFormat="1" applyFont="1" applyFill="1" applyBorder="1" applyAlignment="1">
      <alignment horizontal="center" vertical="center" wrapText="1"/>
    </xf>
    <xf numFmtId="167" fontId="58" fillId="34" borderId="1" xfId="92" applyNumberFormat="1" applyFont="1" applyFill="1" applyBorder="1" applyAlignment="1">
      <alignment vertical="center" wrapText="1"/>
    </xf>
    <xf numFmtId="167" fontId="57" fillId="34" borderId="4" xfId="92" applyNumberFormat="1" applyFont="1" applyFill="1" applyBorder="1" applyAlignment="1">
      <alignment horizontal="center" vertical="center" wrapText="1"/>
    </xf>
    <xf numFmtId="167" fontId="57" fillId="34" borderId="6" xfId="92" applyNumberFormat="1" applyFont="1" applyFill="1" applyBorder="1" applyAlignment="1">
      <alignment horizontal="center" vertical="center" wrapText="1"/>
    </xf>
    <xf numFmtId="167" fontId="57" fillId="34" borderId="3" xfId="92" applyNumberFormat="1" applyFont="1" applyFill="1" applyBorder="1" applyAlignment="1">
      <alignment horizontal="center" vertical="center" wrapText="1"/>
    </xf>
    <xf numFmtId="10" fontId="57" fillId="34" borderId="1" xfId="92" applyNumberFormat="1" applyFont="1" applyFill="1" applyBorder="1" applyAlignment="1">
      <alignment horizontal="center" vertical="center" wrapText="1"/>
    </xf>
    <xf numFmtId="10" fontId="57" fillId="34" borderId="4" xfId="92" applyNumberFormat="1" applyFont="1" applyFill="1" applyBorder="1" applyAlignment="1">
      <alignment horizontal="center" vertical="center" wrapText="1"/>
    </xf>
    <xf numFmtId="10" fontId="57" fillId="34" borderId="6" xfId="92" applyNumberFormat="1" applyFont="1" applyFill="1" applyBorder="1" applyAlignment="1">
      <alignment horizontal="center" vertical="center" wrapText="1"/>
    </xf>
    <xf numFmtId="10" fontId="57" fillId="34" borderId="3" xfId="92" applyNumberFormat="1" applyFont="1" applyFill="1" applyBorder="1" applyAlignment="1">
      <alignment horizontal="center" vertical="center" wrapText="1"/>
    </xf>
    <xf numFmtId="0" fontId="31" fillId="0" borderId="1" xfId="61" applyFont="1" applyBorder="1" applyAlignment="1">
      <alignment horizontal="center" vertical="center" wrapText="1"/>
    </xf>
    <xf numFmtId="167" fontId="39" fillId="0" borderId="1" xfId="92" applyNumberFormat="1" applyFont="1" applyBorder="1" applyAlignment="1">
      <alignment horizontal="center" vertical="center" wrapText="1"/>
    </xf>
    <xf numFmtId="167" fontId="31" fillId="0" borderId="1" xfId="92" applyNumberFormat="1" applyFont="1" applyBorder="1" applyAlignment="1">
      <alignment horizontal="center" vertical="center" wrapText="1"/>
    </xf>
    <xf numFmtId="167" fontId="41" fillId="0" borderId="1" xfId="92" applyNumberFormat="1" applyFont="1" applyBorder="1" applyAlignment="1">
      <alignment vertical="center" wrapText="1"/>
    </xf>
    <xf numFmtId="0" fontId="42" fillId="0" borderId="0" xfId="61" applyFont="1" applyAlignment="1">
      <alignment horizontal="center"/>
    </xf>
    <xf numFmtId="0" fontId="40" fillId="0" borderId="0" xfId="61" applyFont="1" applyAlignment="1">
      <alignment horizontal="center" wrapText="1"/>
    </xf>
    <xf numFmtId="0" fontId="43" fillId="0" borderId="0" xfId="61" applyFont="1" applyAlignment="1">
      <alignment horizontal="center"/>
    </xf>
    <xf numFmtId="0" fontId="31" fillId="0" borderId="4" xfId="61" applyFont="1" applyBorder="1" applyAlignment="1">
      <alignment horizontal="center" vertical="center" wrapText="1"/>
    </xf>
    <xf numFmtId="0" fontId="31" fillId="0" borderId="6" xfId="61" applyFont="1" applyBorder="1" applyAlignment="1">
      <alignment horizontal="center" vertical="center" wrapText="1"/>
    </xf>
    <xf numFmtId="0" fontId="31" fillId="0" borderId="3" xfId="61" applyFont="1" applyBorder="1" applyAlignment="1">
      <alignment horizontal="center" vertical="center" wrapText="1"/>
    </xf>
    <xf numFmtId="1" fontId="31" fillId="0" borderId="4" xfId="61" applyNumberFormat="1" applyFont="1" applyBorder="1" applyAlignment="1">
      <alignment horizontal="center" vertical="center" wrapText="1"/>
    </xf>
    <xf numFmtId="1" fontId="31" fillId="0" borderId="3" xfId="61" applyNumberFormat="1" applyFont="1" applyBorder="1" applyAlignment="1">
      <alignment horizontal="center" vertical="center" wrapText="1"/>
    </xf>
    <xf numFmtId="167" fontId="31" fillId="0" borderId="4" xfId="92" applyNumberFormat="1" applyFont="1" applyBorder="1" applyAlignment="1">
      <alignment horizontal="center" vertical="center" wrapText="1"/>
    </xf>
    <xf numFmtId="167" fontId="31" fillId="0" borderId="6" xfId="92" applyNumberFormat="1" applyFont="1" applyBorder="1" applyAlignment="1">
      <alignment horizontal="center" vertical="center" wrapText="1"/>
    </xf>
    <xf numFmtId="167" fontId="31" fillId="0" borderId="3" xfId="92" applyNumberFormat="1" applyFont="1" applyBorder="1" applyAlignment="1">
      <alignment horizontal="center" vertical="center" wrapText="1"/>
    </xf>
    <xf numFmtId="10" fontId="31" fillId="0" borderId="4" xfId="92" applyNumberFormat="1" applyFont="1" applyBorder="1" applyAlignment="1">
      <alignment horizontal="center" vertical="center" wrapText="1"/>
    </xf>
    <xf numFmtId="10" fontId="31" fillId="0" borderId="6" xfId="92" applyNumberFormat="1" applyFont="1" applyBorder="1" applyAlignment="1">
      <alignment horizontal="center" vertical="center" wrapText="1"/>
    </xf>
    <xf numFmtId="10" fontId="31" fillId="0" borderId="3" xfId="92" applyNumberFormat="1" applyFont="1" applyBorder="1" applyAlignment="1">
      <alignment horizontal="center" vertical="center" wrapText="1"/>
    </xf>
  </cellXfs>
  <cellStyles count="10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103" builtinId="3"/>
    <cellStyle name="Comma [0] 2" xfId="28"/>
    <cellStyle name="Comma 16 3" xfId="29"/>
    <cellStyle name="Comma 16 3 2" xfId="30"/>
    <cellStyle name="Comma 2" xfId="31"/>
    <cellStyle name="Comma 2 10" xfId="32"/>
    <cellStyle name="Comma 2 2" xfId="33"/>
    <cellStyle name="Comma 2 3" xfId="34"/>
    <cellStyle name="Comma 2 4" xfId="35"/>
    <cellStyle name="Comma 2 5" xfId="36"/>
    <cellStyle name="Comma 2 6" xfId="37"/>
    <cellStyle name="Comma 2 7" xfId="38"/>
    <cellStyle name="Comma 2 8" xfId="39"/>
    <cellStyle name="Comma 2 9" xfId="40"/>
    <cellStyle name="Comma 20" xfId="41"/>
    <cellStyle name="Comma 3" xfId="42"/>
    <cellStyle name="Comma 3 2" xfId="43"/>
    <cellStyle name="Comma 4 2" xfId="44"/>
    <cellStyle name="Comma 5 2" xfId="45"/>
    <cellStyle name="Explanatory Text 2" xfId="46"/>
    <cellStyle name="Good 2" xfId="47"/>
    <cellStyle name="Heading 1 2" xfId="48"/>
    <cellStyle name="Heading 2 2" xfId="49"/>
    <cellStyle name="Heading 3 2" xfId="50"/>
    <cellStyle name="Heading 4 2" xfId="51"/>
    <cellStyle name="Input 2" xfId="52"/>
    <cellStyle name="Linked Cell 2" xfId="53"/>
    <cellStyle name="Neutral 2" xfId="54"/>
    <cellStyle name="Normal" xfId="0" builtinId="0"/>
    <cellStyle name="Normal 11" xfId="55"/>
    <cellStyle name="Normal 12" xfId="56"/>
    <cellStyle name="Normal 13" xfId="57"/>
    <cellStyle name="Normal 13 2" xfId="58"/>
    <cellStyle name="Normal 13 2 2" xfId="105"/>
    <cellStyle name="Normal 18" xfId="59"/>
    <cellStyle name="Normal 19" xfId="60"/>
    <cellStyle name="Normal 19 7" xfId="106"/>
    <cellStyle name="Normal 2" xfId="61"/>
    <cellStyle name="Normal 2 10" xfId="62"/>
    <cellStyle name="Normal 2 11" xfId="63"/>
    <cellStyle name="Normal 2 2" xfId="64"/>
    <cellStyle name="Normal 2 3" xfId="65"/>
    <cellStyle name="Normal 2 4" xfId="66"/>
    <cellStyle name="Normal 2 4 2" xfId="67"/>
    <cellStyle name="Normal 2 5" xfId="68"/>
    <cellStyle name="Normal 2 6" xfId="69"/>
    <cellStyle name="Normal 2 7" xfId="70"/>
    <cellStyle name="Normal 2 8" xfId="71"/>
    <cellStyle name="Normal 2 9" xfId="72"/>
    <cellStyle name="Normal 3" xfId="73"/>
    <cellStyle name="Normal 3 2" xfId="74"/>
    <cellStyle name="Normal 3 3" xfId="75"/>
    <cellStyle name="Normal 3 4" xfId="76"/>
    <cellStyle name="Normal 3 5" xfId="77"/>
    <cellStyle name="Normal 3 6" xfId="78"/>
    <cellStyle name="Normal 3 7" xfId="79"/>
    <cellStyle name="Normal 3 8" xfId="80"/>
    <cellStyle name="Normal 3 9" xfId="81"/>
    <cellStyle name="Normal 4" xfId="82"/>
    <cellStyle name="Normal 4 2" xfId="83"/>
    <cellStyle name="Normal 4 3" xfId="84"/>
    <cellStyle name="Normal 4 4" xfId="85"/>
    <cellStyle name="Normal 4 5" xfId="86"/>
    <cellStyle name="Normal 4 6" xfId="87"/>
    <cellStyle name="Normal 4 7" xfId="88"/>
    <cellStyle name="Normal 4 8" xfId="89"/>
    <cellStyle name="Normal 4 9" xfId="90"/>
    <cellStyle name="Normal 5" xfId="91"/>
    <cellStyle name="Normal 7" xfId="92"/>
    <cellStyle name="Normal 8" xfId="93"/>
    <cellStyle name="Normal 8 2" xfId="94"/>
    <cellStyle name="Normal_Bieu mau (CV )" xfId="95"/>
    <cellStyle name="Note 2" xfId="96"/>
    <cellStyle name="Output 2" xfId="97"/>
    <cellStyle name="Percent" xfId="104" builtinId="5"/>
    <cellStyle name="Style 1" xfId="98"/>
    <cellStyle name="Style 1 4" xfId="99"/>
    <cellStyle name="Title 2" xfId="100"/>
    <cellStyle name="Total 2" xfId="101"/>
    <cellStyle name="Warning Text 2" xfId="10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70</xdr:row>
      <xdr:rowOff>0</xdr:rowOff>
    </xdr:from>
    <xdr:to>
      <xdr:col>1</xdr:col>
      <xdr:colOff>304800</xdr:colOff>
      <xdr:row>70</xdr:row>
      <xdr:rowOff>28575</xdr:rowOff>
    </xdr:to>
    <xdr:sp macro="" textlink="">
      <xdr:nvSpPr>
        <xdr:cNvPr id="2" name="AutoShape 1" descr="blob:file:///cf7ae82e-a557-436e-9e8a-2799538085eb">
          <a:extLst>
            <a:ext uri="{FF2B5EF4-FFF2-40B4-BE49-F238E27FC236}">
              <a16:creationId xmlns="" xmlns:a16="http://schemas.microsoft.com/office/drawing/2014/main" id="{3353B753-6D19-454C-BD5F-22FC83C086EC}"/>
            </a:ext>
          </a:extLst>
        </xdr:cNvPr>
        <xdr:cNvSpPr>
          <a:spLocks noChangeAspect="1" noChangeArrowheads="1"/>
        </xdr:cNvSpPr>
      </xdr:nvSpPr>
      <xdr:spPr bwMode="auto">
        <a:xfrm>
          <a:off x="381000" y="159162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70</xdr:row>
      <xdr:rowOff>0</xdr:rowOff>
    </xdr:from>
    <xdr:to>
      <xdr:col>1</xdr:col>
      <xdr:colOff>304800</xdr:colOff>
      <xdr:row>70</xdr:row>
      <xdr:rowOff>28575</xdr:rowOff>
    </xdr:to>
    <xdr:sp macro="" textlink="">
      <xdr:nvSpPr>
        <xdr:cNvPr id="3" name="AutoShape 2" descr="blob:file:///cf7ae82e-a557-436e-9e8a-2799538085eb">
          <a:extLst>
            <a:ext uri="{FF2B5EF4-FFF2-40B4-BE49-F238E27FC236}">
              <a16:creationId xmlns="" xmlns:a16="http://schemas.microsoft.com/office/drawing/2014/main" id="{E1F12701-C2FA-417F-A8D9-1405BE47EDED}"/>
            </a:ext>
          </a:extLst>
        </xdr:cNvPr>
        <xdr:cNvSpPr>
          <a:spLocks noChangeAspect="1" noChangeArrowheads="1"/>
        </xdr:cNvSpPr>
      </xdr:nvSpPr>
      <xdr:spPr bwMode="auto">
        <a:xfrm>
          <a:off x="381000" y="159162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70</xdr:row>
      <xdr:rowOff>0</xdr:rowOff>
    </xdr:from>
    <xdr:to>
      <xdr:col>1</xdr:col>
      <xdr:colOff>304800</xdr:colOff>
      <xdr:row>70</xdr:row>
      <xdr:rowOff>28575</xdr:rowOff>
    </xdr:to>
    <xdr:sp macro="" textlink="">
      <xdr:nvSpPr>
        <xdr:cNvPr id="4" name="AutoShape 1" descr="blob:file:///cf7ae82e-a557-436e-9e8a-2799538085eb">
          <a:extLst>
            <a:ext uri="{FF2B5EF4-FFF2-40B4-BE49-F238E27FC236}">
              <a16:creationId xmlns="" xmlns:a16="http://schemas.microsoft.com/office/drawing/2014/main" id="{10B83F76-CC30-4519-A3A3-537F6D0C22B6}"/>
            </a:ext>
          </a:extLst>
        </xdr:cNvPr>
        <xdr:cNvSpPr>
          <a:spLocks noChangeAspect="1" noChangeArrowheads="1"/>
        </xdr:cNvSpPr>
      </xdr:nvSpPr>
      <xdr:spPr bwMode="auto">
        <a:xfrm>
          <a:off x="381000" y="159162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70</xdr:row>
      <xdr:rowOff>0</xdr:rowOff>
    </xdr:from>
    <xdr:to>
      <xdr:col>1</xdr:col>
      <xdr:colOff>304800</xdr:colOff>
      <xdr:row>70</xdr:row>
      <xdr:rowOff>161925</xdr:rowOff>
    </xdr:to>
    <xdr:sp macro="" textlink="">
      <xdr:nvSpPr>
        <xdr:cNvPr id="5" name="AutoShape 1" descr="blob:file:///cf7ae82e-a557-436e-9e8a-2799538085eb">
          <a:extLst>
            <a:ext uri="{FF2B5EF4-FFF2-40B4-BE49-F238E27FC236}">
              <a16:creationId xmlns="" xmlns:a16="http://schemas.microsoft.com/office/drawing/2014/main" id="{739A4B39-D8C8-4BA2-AA05-4B7A002E53D6}"/>
            </a:ext>
          </a:extLst>
        </xdr:cNvPr>
        <xdr:cNvSpPr>
          <a:spLocks noChangeAspect="1" noChangeArrowheads="1"/>
        </xdr:cNvSpPr>
      </xdr:nvSpPr>
      <xdr:spPr bwMode="auto">
        <a:xfrm>
          <a:off x="381000" y="15916275"/>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70</xdr:row>
      <xdr:rowOff>0</xdr:rowOff>
    </xdr:from>
    <xdr:to>
      <xdr:col>1</xdr:col>
      <xdr:colOff>304800</xdr:colOff>
      <xdr:row>70</xdr:row>
      <xdr:rowOff>161925</xdr:rowOff>
    </xdr:to>
    <xdr:sp macro="" textlink="">
      <xdr:nvSpPr>
        <xdr:cNvPr id="6" name="AutoShape 2" descr="blob:file:///cf7ae82e-a557-436e-9e8a-2799538085eb">
          <a:extLst>
            <a:ext uri="{FF2B5EF4-FFF2-40B4-BE49-F238E27FC236}">
              <a16:creationId xmlns="" xmlns:a16="http://schemas.microsoft.com/office/drawing/2014/main" id="{33634BB6-CD27-45B1-A47C-D21EA7392923}"/>
            </a:ext>
          </a:extLst>
        </xdr:cNvPr>
        <xdr:cNvSpPr>
          <a:spLocks noChangeAspect="1" noChangeArrowheads="1"/>
        </xdr:cNvSpPr>
      </xdr:nvSpPr>
      <xdr:spPr bwMode="auto">
        <a:xfrm>
          <a:off x="381000" y="15916275"/>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70</xdr:row>
      <xdr:rowOff>0</xdr:rowOff>
    </xdr:from>
    <xdr:to>
      <xdr:col>1</xdr:col>
      <xdr:colOff>304800</xdr:colOff>
      <xdr:row>70</xdr:row>
      <xdr:rowOff>161925</xdr:rowOff>
    </xdr:to>
    <xdr:sp macro="" textlink="">
      <xdr:nvSpPr>
        <xdr:cNvPr id="7" name="AutoShape 1" descr="blob:file:///cf7ae82e-a557-436e-9e8a-2799538085eb">
          <a:extLst>
            <a:ext uri="{FF2B5EF4-FFF2-40B4-BE49-F238E27FC236}">
              <a16:creationId xmlns="" xmlns:a16="http://schemas.microsoft.com/office/drawing/2014/main" id="{8F5C4B45-FE86-4D79-866E-821C23A7A895}"/>
            </a:ext>
          </a:extLst>
        </xdr:cNvPr>
        <xdr:cNvSpPr>
          <a:spLocks noChangeAspect="1" noChangeArrowheads="1"/>
        </xdr:cNvSpPr>
      </xdr:nvSpPr>
      <xdr:spPr bwMode="auto">
        <a:xfrm>
          <a:off x="381000" y="15916275"/>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37</xdr:row>
      <xdr:rowOff>0</xdr:rowOff>
    </xdr:from>
    <xdr:to>
      <xdr:col>1</xdr:col>
      <xdr:colOff>304800</xdr:colOff>
      <xdr:row>37</xdr:row>
      <xdr:rowOff>28575</xdr:rowOff>
    </xdr:to>
    <xdr:sp macro="" textlink="">
      <xdr:nvSpPr>
        <xdr:cNvPr id="8" name="AutoShape 1" descr="blob:file:///cf7ae82e-a557-436e-9e8a-2799538085eb">
          <a:extLst>
            <a:ext uri="{FF2B5EF4-FFF2-40B4-BE49-F238E27FC236}">
              <a16:creationId xmlns="" xmlns:a16="http://schemas.microsoft.com/office/drawing/2014/main" id="{DBD26CD0-1630-425D-9974-8107BF99529C}"/>
            </a:ext>
          </a:extLst>
        </xdr:cNvPr>
        <xdr:cNvSpPr>
          <a:spLocks noChangeAspect="1" noChangeArrowheads="1"/>
        </xdr:cNvSpPr>
      </xdr:nvSpPr>
      <xdr:spPr bwMode="auto">
        <a:xfrm>
          <a:off x="381000" y="1211580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37</xdr:row>
      <xdr:rowOff>0</xdr:rowOff>
    </xdr:from>
    <xdr:to>
      <xdr:col>1</xdr:col>
      <xdr:colOff>304800</xdr:colOff>
      <xdr:row>37</xdr:row>
      <xdr:rowOff>28575</xdr:rowOff>
    </xdr:to>
    <xdr:sp macro="" textlink="">
      <xdr:nvSpPr>
        <xdr:cNvPr id="9" name="AutoShape 2" descr="blob:file:///cf7ae82e-a557-436e-9e8a-2799538085eb">
          <a:extLst>
            <a:ext uri="{FF2B5EF4-FFF2-40B4-BE49-F238E27FC236}">
              <a16:creationId xmlns="" xmlns:a16="http://schemas.microsoft.com/office/drawing/2014/main" id="{8570A6A2-8151-4D0D-9CA3-1D46743ABEE6}"/>
            </a:ext>
          </a:extLst>
        </xdr:cNvPr>
        <xdr:cNvSpPr>
          <a:spLocks noChangeAspect="1" noChangeArrowheads="1"/>
        </xdr:cNvSpPr>
      </xdr:nvSpPr>
      <xdr:spPr bwMode="auto">
        <a:xfrm>
          <a:off x="381000" y="1211580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37</xdr:row>
      <xdr:rowOff>0</xdr:rowOff>
    </xdr:from>
    <xdr:to>
      <xdr:col>1</xdr:col>
      <xdr:colOff>304800</xdr:colOff>
      <xdr:row>37</xdr:row>
      <xdr:rowOff>28575</xdr:rowOff>
    </xdr:to>
    <xdr:sp macro="" textlink="">
      <xdr:nvSpPr>
        <xdr:cNvPr id="10" name="AutoShape 1" descr="blob:file:///cf7ae82e-a557-436e-9e8a-2799538085eb">
          <a:extLst>
            <a:ext uri="{FF2B5EF4-FFF2-40B4-BE49-F238E27FC236}">
              <a16:creationId xmlns="" xmlns:a16="http://schemas.microsoft.com/office/drawing/2014/main" id="{3CC5709F-CE96-430D-AD0E-1BD438F6EE86}"/>
            </a:ext>
          </a:extLst>
        </xdr:cNvPr>
        <xdr:cNvSpPr>
          <a:spLocks noChangeAspect="1" noChangeArrowheads="1"/>
        </xdr:cNvSpPr>
      </xdr:nvSpPr>
      <xdr:spPr bwMode="auto">
        <a:xfrm>
          <a:off x="381000" y="1211580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37</xdr:row>
      <xdr:rowOff>0</xdr:rowOff>
    </xdr:from>
    <xdr:to>
      <xdr:col>1</xdr:col>
      <xdr:colOff>304800</xdr:colOff>
      <xdr:row>37</xdr:row>
      <xdr:rowOff>161925</xdr:rowOff>
    </xdr:to>
    <xdr:sp macro="" textlink="">
      <xdr:nvSpPr>
        <xdr:cNvPr id="11" name="AutoShape 1" descr="blob:file:///cf7ae82e-a557-436e-9e8a-2799538085eb">
          <a:extLst>
            <a:ext uri="{FF2B5EF4-FFF2-40B4-BE49-F238E27FC236}">
              <a16:creationId xmlns="" xmlns:a16="http://schemas.microsoft.com/office/drawing/2014/main" id="{32AFB889-C89C-426D-A419-F732E7C1BB99}"/>
            </a:ext>
          </a:extLst>
        </xdr:cNvPr>
        <xdr:cNvSpPr>
          <a:spLocks noChangeAspect="1" noChangeArrowheads="1"/>
        </xdr:cNvSpPr>
      </xdr:nvSpPr>
      <xdr:spPr bwMode="auto">
        <a:xfrm>
          <a:off x="381000" y="1211580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37</xdr:row>
      <xdr:rowOff>0</xdr:rowOff>
    </xdr:from>
    <xdr:to>
      <xdr:col>1</xdr:col>
      <xdr:colOff>304800</xdr:colOff>
      <xdr:row>37</xdr:row>
      <xdr:rowOff>161925</xdr:rowOff>
    </xdr:to>
    <xdr:sp macro="" textlink="">
      <xdr:nvSpPr>
        <xdr:cNvPr id="12" name="AutoShape 2" descr="blob:file:///cf7ae82e-a557-436e-9e8a-2799538085eb">
          <a:extLst>
            <a:ext uri="{FF2B5EF4-FFF2-40B4-BE49-F238E27FC236}">
              <a16:creationId xmlns="" xmlns:a16="http://schemas.microsoft.com/office/drawing/2014/main" id="{9E8FE72B-CFA4-4C17-9B00-32CDE3368DF8}"/>
            </a:ext>
          </a:extLst>
        </xdr:cNvPr>
        <xdr:cNvSpPr>
          <a:spLocks noChangeAspect="1" noChangeArrowheads="1"/>
        </xdr:cNvSpPr>
      </xdr:nvSpPr>
      <xdr:spPr bwMode="auto">
        <a:xfrm>
          <a:off x="381000" y="1211580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37</xdr:row>
      <xdr:rowOff>0</xdr:rowOff>
    </xdr:from>
    <xdr:to>
      <xdr:col>1</xdr:col>
      <xdr:colOff>304800</xdr:colOff>
      <xdr:row>37</xdr:row>
      <xdr:rowOff>161925</xdr:rowOff>
    </xdr:to>
    <xdr:sp macro="" textlink="">
      <xdr:nvSpPr>
        <xdr:cNvPr id="13" name="AutoShape 1" descr="blob:file:///cf7ae82e-a557-436e-9e8a-2799538085eb">
          <a:extLst>
            <a:ext uri="{FF2B5EF4-FFF2-40B4-BE49-F238E27FC236}">
              <a16:creationId xmlns="" xmlns:a16="http://schemas.microsoft.com/office/drawing/2014/main" id="{D1AA2F9D-83B1-455A-A71B-698FACCFD9C0}"/>
            </a:ext>
          </a:extLst>
        </xdr:cNvPr>
        <xdr:cNvSpPr>
          <a:spLocks noChangeAspect="1" noChangeArrowheads="1"/>
        </xdr:cNvSpPr>
      </xdr:nvSpPr>
      <xdr:spPr bwMode="auto">
        <a:xfrm>
          <a:off x="381000" y="1211580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68</xdr:row>
      <xdr:rowOff>0</xdr:rowOff>
    </xdr:from>
    <xdr:to>
      <xdr:col>1</xdr:col>
      <xdr:colOff>304800</xdr:colOff>
      <xdr:row>68</xdr:row>
      <xdr:rowOff>28575</xdr:rowOff>
    </xdr:to>
    <xdr:sp macro="" textlink="">
      <xdr:nvSpPr>
        <xdr:cNvPr id="1607368" name="AutoShape 1" descr="blob:file:///cf7ae82e-a557-436e-9e8a-2799538085eb">
          <a:extLst>
            <a:ext uri="{FF2B5EF4-FFF2-40B4-BE49-F238E27FC236}">
              <a16:creationId xmlns="" xmlns:a16="http://schemas.microsoft.com/office/drawing/2014/main" id="{2F375A8F-37F0-3E4B-AFEA-EB62C9CAB1D7}"/>
            </a:ext>
          </a:extLst>
        </xdr:cNvPr>
        <xdr:cNvSpPr>
          <a:spLocks noChangeAspect="1" noChangeArrowheads="1"/>
        </xdr:cNvSpPr>
      </xdr:nvSpPr>
      <xdr:spPr bwMode="auto">
        <a:xfrm>
          <a:off x="485775" y="184213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28575</xdr:rowOff>
    </xdr:to>
    <xdr:sp macro="" textlink="">
      <xdr:nvSpPr>
        <xdr:cNvPr id="1607369" name="AutoShape 2" descr="blob:file:///cf7ae82e-a557-436e-9e8a-2799538085eb">
          <a:extLst>
            <a:ext uri="{FF2B5EF4-FFF2-40B4-BE49-F238E27FC236}">
              <a16:creationId xmlns="" xmlns:a16="http://schemas.microsoft.com/office/drawing/2014/main" id="{2CC03944-6771-A6D0-2826-D2A59F78E06E}"/>
            </a:ext>
          </a:extLst>
        </xdr:cNvPr>
        <xdr:cNvSpPr>
          <a:spLocks noChangeAspect="1" noChangeArrowheads="1"/>
        </xdr:cNvSpPr>
      </xdr:nvSpPr>
      <xdr:spPr bwMode="auto">
        <a:xfrm>
          <a:off x="485775" y="184213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28575</xdr:rowOff>
    </xdr:to>
    <xdr:sp macro="" textlink="">
      <xdr:nvSpPr>
        <xdr:cNvPr id="1607370" name="AutoShape 1" descr="blob:file:///cf7ae82e-a557-436e-9e8a-2799538085eb">
          <a:extLst>
            <a:ext uri="{FF2B5EF4-FFF2-40B4-BE49-F238E27FC236}">
              <a16:creationId xmlns="" xmlns:a16="http://schemas.microsoft.com/office/drawing/2014/main" id="{C14EF9F2-ECC2-9ACD-8BB7-95E3BD7E48CE}"/>
            </a:ext>
          </a:extLst>
        </xdr:cNvPr>
        <xdr:cNvSpPr>
          <a:spLocks noChangeAspect="1" noChangeArrowheads="1"/>
        </xdr:cNvSpPr>
      </xdr:nvSpPr>
      <xdr:spPr bwMode="auto">
        <a:xfrm>
          <a:off x="485775" y="184213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161925</xdr:rowOff>
    </xdr:to>
    <xdr:sp macro="" textlink="">
      <xdr:nvSpPr>
        <xdr:cNvPr id="1607371" name="AutoShape 1" descr="blob:file:///cf7ae82e-a557-436e-9e8a-2799538085eb">
          <a:extLst>
            <a:ext uri="{FF2B5EF4-FFF2-40B4-BE49-F238E27FC236}">
              <a16:creationId xmlns="" xmlns:a16="http://schemas.microsoft.com/office/drawing/2014/main" id="{B4CD4B2C-FA91-D884-690A-A59404C95E32}"/>
            </a:ext>
          </a:extLst>
        </xdr:cNvPr>
        <xdr:cNvSpPr>
          <a:spLocks noChangeAspect="1" noChangeArrowheads="1"/>
        </xdr:cNvSpPr>
      </xdr:nvSpPr>
      <xdr:spPr bwMode="auto">
        <a:xfrm>
          <a:off x="485775" y="184213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161925</xdr:rowOff>
    </xdr:to>
    <xdr:sp macro="" textlink="">
      <xdr:nvSpPr>
        <xdr:cNvPr id="1607372" name="AutoShape 2" descr="blob:file:///cf7ae82e-a557-436e-9e8a-2799538085eb">
          <a:extLst>
            <a:ext uri="{FF2B5EF4-FFF2-40B4-BE49-F238E27FC236}">
              <a16:creationId xmlns="" xmlns:a16="http://schemas.microsoft.com/office/drawing/2014/main" id="{B7919A80-458B-38D3-4166-628470C9D43E}"/>
            </a:ext>
          </a:extLst>
        </xdr:cNvPr>
        <xdr:cNvSpPr>
          <a:spLocks noChangeAspect="1" noChangeArrowheads="1"/>
        </xdr:cNvSpPr>
      </xdr:nvSpPr>
      <xdr:spPr bwMode="auto">
        <a:xfrm>
          <a:off x="485775" y="184213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68</xdr:row>
      <xdr:rowOff>0</xdr:rowOff>
    </xdr:from>
    <xdr:to>
      <xdr:col>1</xdr:col>
      <xdr:colOff>304800</xdr:colOff>
      <xdr:row>68</xdr:row>
      <xdr:rowOff>161925</xdr:rowOff>
    </xdr:to>
    <xdr:sp macro="" textlink="">
      <xdr:nvSpPr>
        <xdr:cNvPr id="1607373" name="AutoShape 1" descr="blob:file:///cf7ae82e-a557-436e-9e8a-2799538085eb">
          <a:extLst>
            <a:ext uri="{FF2B5EF4-FFF2-40B4-BE49-F238E27FC236}">
              <a16:creationId xmlns="" xmlns:a16="http://schemas.microsoft.com/office/drawing/2014/main" id="{E2F23C9B-1D51-D10E-494A-0BFD456EFAD9}"/>
            </a:ext>
          </a:extLst>
        </xdr:cNvPr>
        <xdr:cNvSpPr>
          <a:spLocks noChangeAspect="1" noChangeArrowheads="1"/>
        </xdr:cNvSpPr>
      </xdr:nvSpPr>
      <xdr:spPr bwMode="auto">
        <a:xfrm>
          <a:off x="485775" y="184213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28575</xdr:rowOff>
    </xdr:to>
    <xdr:sp macro="" textlink="">
      <xdr:nvSpPr>
        <xdr:cNvPr id="1607374" name="AutoShape 1" descr="blob:file:///cf7ae82e-a557-436e-9e8a-2799538085eb">
          <a:extLst>
            <a:ext uri="{FF2B5EF4-FFF2-40B4-BE49-F238E27FC236}">
              <a16:creationId xmlns="" xmlns:a16="http://schemas.microsoft.com/office/drawing/2014/main" id="{E8D39E89-137A-1C85-F552-C0DD5D47E136}"/>
            </a:ext>
          </a:extLst>
        </xdr:cNvPr>
        <xdr:cNvSpPr>
          <a:spLocks noChangeAspect="1" noChangeArrowheads="1"/>
        </xdr:cNvSpPr>
      </xdr:nvSpPr>
      <xdr:spPr bwMode="auto">
        <a:xfrm>
          <a:off x="485775" y="146208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28575</xdr:rowOff>
    </xdr:to>
    <xdr:sp macro="" textlink="">
      <xdr:nvSpPr>
        <xdr:cNvPr id="1607375" name="AutoShape 2" descr="blob:file:///cf7ae82e-a557-436e-9e8a-2799538085eb">
          <a:extLst>
            <a:ext uri="{FF2B5EF4-FFF2-40B4-BE49-F238E27FC236}">
              <a16:creationId xmlns="" xmlns:a16="http://schemas.microsoft.com/office/drawing/2014/main" id="{ABFA5835-E723-E3AE-2DB5-97B004AFDB8E}"/>
            </a:ext>
          </a:extLst>
        </xdr:cNvPr>
        <xdr:cNvSpPr>
          <a:spLocks noChangeAspect="1" noChangeArrowheads="1"/>
        </xdr:cNvSpPr>
      </xdr:nvSpPr>
      <xdr:spPr bwMode="auto">
        <a:xfrm>
          <a:off x="485775" y="146208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28575</xdr:rowOff>
    </xdr:to>
    <xdr:sp macro="" textlink="">
      <xdr:nvSpPr>
        <xdr:cNvPr id="1607376" name="AutoShape 1" descr="blob:file:///cf7ae82e-a557-436e-9e8a-2799538085eb">
          <a:extLst>
            <a:ext uri="{FF2B5EF4-FFF2-40B4-BE49-F238E27FC236}">
              <a16:creationId xmlns="" xmlns:a16="http://schemas.microsoft.com/office/drawing/2014/main" id="{7844D2A3-2769-C45C-AE39-0359D8EEFCF9}"/>
            </a:ext>
          </a:extLst>
        </xdr:cNvPr>
        <xdr:cNvSpPr>
          <a:spLocks noChangeAspect="1" noChangeArrowheads="1"/>
        </xdr:cNvSpPr>
      </xdr:nvSpPr>
      <xdr:spPr bwMode="auto">
        <a:xfrm>
          <a:off x="485775" y="146208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161925</xdr:rowOff>
    </xdr:to>
    <xdr:sp macro="" textlink="">
      <xdr:nvSpPr>
        <xdr:cNvPr id="1607377" name="AutoShape 1" descr="blob:file:///cf7ae82e-a557-436e-9e8a-2799538085eb">
          <a:extLst>
            <a:ext uri="{FF2B5EF4-FFF2-40B4-BE49-F238E27FC236}">
              <a16:creationId xmlns="" xmlns:a16="http://schemas.microsoft.com/office/drawing/2014/main" id="{0C175DCF-4587-09FA-D215-CE100346CD82}"/>
            </a:ext>
          </a:extLst>
        </xdr:cNvPr>
        <xdr:cNvSpPr>
          <a:spLocks noChangeAspect="1" noChangeArrowheads="1"/>
        </xdr:cNvSpPr>
      </xdr:nvSpPr>
      <xdr:spPr bwMode="auto">
        <a:xfrm>
          <a:off x="485775" y="14620875"/>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161925</xdr:rowOff>
    </xdr:to>
    <xdr:sp macro="" textlink="">
      <xdr:nvSpPr>
        <xdr:cNvPr id="1607378" name="AutoShape 2" descr="blob:file:///cf7ae82e-a557-436e-9e8a-2799538085eb">
          <a:extLst>
            <a:ext uri="{FF2B5EF4-FFF2-40B4-BE49-F238E27FC236}">
              <a16:creationId xmlns="" xmlns:a16="http://schemas.microsoft.com/office/drawing/2014/main" id="{72801203-9DD5-EEDA-A938-B19D0BA653CB}"/>
            </a:ext>
          </a:extLst>
        </xdr:cNvPr>
        <xdr:cNvSpPr>
          <a:spLocks noChangeAspect="1" noChangeArrowheads="1"/>
        </xdr:cNvSpPr>
      </xdr:nvSpPr>
      <xdr:spPr bwMode="auto">
        <a:xfrm>
          <a:off x="485775" y="14620875"/>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35</xdr:row>
      <xdr:rowOff>0</xdr:rowOff>
    </xdr:from>
    <xdr:to>
      <xdr:col>1</xdr:col>
      <xdr:colOff>304800</xdr:colOff>
      <xdr:row>35</xdr:row>
      <xdr:rowOff>161925</xdr:rowOff>
    </xdr:to>
    <xdr:sp macro="" textlink="">
      <xdr:nvSpPr>
        <xdr:cNvPr id="1607379" name="AutoShape 1" descr="blob:file:///cf7ae82e-a557-436e-9e8a-2799538085eb">
          <a:extLst>
            <a:ext uri="{FF2B5EF4-FFF2-40B4-BE49-F238E27FC236}">
              <a16:creationId xmlns="" xmlns:a16="http://schemas.microsoft.com/office/drawing/2014/main" id="{628EDAD2-E369-464B-9ABA-E3B9D95B3FCB}"/>
            </a:ext>
          </a:extLst>
        </xdr:cNvPr>
        <xdr:cNvSpPr>
          <a:spLocks noChangeAspect="1" noChangeArrowheads="1"/>
        </xdr:cNvSpPr>
      </xdr:nvSpPr>
      <xdr:spPr bwMode="auto">
        <a:xfrm>
          <a:off x="485775" y="14620875"/>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304800</xdr:colOff>
      <xdr:row>20</xdr:row>
      <xdr:rowOff>28575</xdr:rowOff>
    </xdr:to>
    <xdr:sp macro="" textlink="">
      <xdr:nvSpPr>
        <xdr:cNvPr id="2" name="AutoShape 1" descr="blob:file:///cf7ae82e-a557-436e-9e8a-2799538085eb">
          <a:extLst>
            <a:ext uri="{FF2B5EF4-FFF2-40B4-BE49-F238E27FC236}">
              <a16:creationId xmlns="" xmlns:a16="http://schemas.microsoft.com/office/drawing/2014/main" id="{31F47E29-33F1-4A8E-83C8-4C4034F4C259}"/>
            </a:ext>
          </a:extLst>
        </xdr:cNvPr>
        <xdr:cNvSpPr>
          <a:spLocks noChangeAspect="1" noChangeArrowheads="1"/>
        </xdr:cNvSpPr>
      </xdr:nvSpPr>
      <xdr:spPr bwMode="auto">
        <a:xfrm>
          <a:off x="485775" y="103822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28575</xdr:rowOff>
    </xdr:to>
    <xdr:sp macro="" textlink="">
      <xdr:nvSpPr>
        <xdr:cNvPr id="3" name="AutoShape 2" descr="blob:file:///cf7ae82e-a557-436e-9e8a-2799538085eb">
          <a:extLst>
            <a:ext uri="{FF2B5EF4-FFF2-40B4-BE49-F238E27FC236}">
              <a16:creationId xmlns="" xmlns:a16="http://schemas.microsoft.com/office/drawing/2014/main" id="{0D0CED9D-4F41-4D7C-BE96-6FA66FB22D77}"/>
            </a:ext>
          </a:extLst>
        </xdr:cNvPr>
        <xdr:cNvSpPr>
          <a:spLocks noChangeAspect="1" noChangeArrowheads="1"/>
        </xdr:cNvSpPr>
      </xdr:nvSpPr>
      <xdr:spPr bwMode="auto">
        <a:xfrm>
          <a:off x="485775" y="103822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28575</xdr:rowOff>
    </xdr:to>
    <xdr:sp macro="" textlink="">
      <xdr:nvSpPr>
        <xdr:cNvPr id="4" name="AutoShape 1" descr="blob:file:///cf7ae82e-a557-436e-9e8a-2799538085eb">
          <a:extLst>
            <a:ext uri="{FF2B5EF4-FFF2-40B4-BE49-F238E27FC236}">
              <a16:creationId xmlns="" xmlns:a16="http://schemas.microsoft.com/office/drawing/2014/main" id="{31A4BC80-BE91-4BFD-864D-B3722172F1E6}"/>
            </a:ext>
          </a:extLst>
        </xdr:cNvPr>
        <xdr:cNvSpPr>
          <a:spLocks noChangeAspect="1" noChangeArrowheads="1"/>
        </xdr:cNvSpPr>
      </xdr:nvSpPr>
      <xdr:spPr bwMode="auto">
        <a:xfrm>
          <a:off x="485775" y="103822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161925</xdr:rowOff>
    </xdr:to>
    <xdr:sp macro="" textlink="">
      <xdr:nvSpPr>
        <xdr:cNvPr id="5" name="AutoShape 1" descr="blob:file:///cf7ae82e-a557-436e-9e8a-2799538085eb">
          <a:extLst>
            <a:ext uri="{FF2B5EF4-FFF2-40B4-BE49-F238E27FC236}">
              <a16:creationId xmlns="" xmlns:a16="http://schemas.microsoft.com/office/drawing/2014/main" id="{F46BFABF-B507-47C6-8C74-BA861867CBA0}"/>
            </a:ext>
          </a:extLst>
        </xdr:cNvPr>
        <xdr:cNvSpPr>
          <a:spLocks noChangeAspect="1" noChangeArrowheads="1"/>
        </xdr:cNvSpPr>
      </xdr:nvSpPr>
      <xdr:spPr bwMode="auto">
        <a:xfrm>
          <a:off x="485775" y="103822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161925</xdr:rowOff>
    </xdr:to>
    <xdr:sp macro="" textlink="">
      <xdr:nvSpPr>
        <xdr:cNvPr id="6" name="AutoShape 2" descr="blob:file:///cf7ae82e-a557-436e-9e8a-2799538085eb">
          <a:extLst>
            <a:ext uri="{FF2B5EF4-FFF2-40B4-BE49-F238E27FC236}">
              <a16:creationId xmlns="" xmlns:a16="http://schemas.microsoft.com/office/drawing/2014/main" id="{FC91233E-DC9E-432D-A3DE-9DC43D78C1BF}"/>
            </a:ext>
          </a:extLst>
        </xdr:cNvPr>
        <xdr:cNvSpPr>
          <a:spLocks noChangeAspect="1" noChangeArrowheads="1"/>
        </xdr:cNvSpPr>
      </xdr:nvSpPr>
      <xdr:spPr bwMode="auto">
        <a:xfrm>
          <a:off x="485775" y="103822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161925</xdr:rowOff>
    </xdr:to>
    <xdr:sp macro="" textlink="">
      <xdr:nvSpPr>
        <xdr:cNvPr id="7" name="AutoShape 1" descr="blob:file:///cf7ae82e-a557-436e-9e8a-2799538085eb">
          <a:extLst>
            <a:ext uri="{FF2B5EF4-FFF2-40B4-BE49-F238E27FC236}">
              <a16:creationId xmlns="" xmlns:a16="http://schemas.microsoft.com/office/drawing/2014/main" id="{D4B2EEFC-26FF-4CC8-8B87-A9805CF5008F}"/>
            </a:ext>
          </a:extLst>
        </xdr:cNvPr>
        <xdr:cNvSpPr>
          <a:spLocks noChangeAspect="1" noChangeArrowheads="1"/>
        </xdr:cNvSpPr>
      </xdr:nvSpPr>
      <xdr:spPr bwMode="auto">
        <a:xfrm>
          <a:off x="485775" y="103822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28575</xdr:rowOff>
    </xdr:to>
    <xdr:sp macro="" textlink="">
      <xdr:nvSpPr>
        <xdr:cNvPr id="8" name="AutoShape 1" descr="blob:file:///cf7ae82e-a557-436e-9e8a-2799538085eb">
          <a:extLst>
            <a:ext uri="{FF2B5EF4-FFF2-40B4-BE49-F238E27FC236}">
              <a16:creationId xmlns="" xmlns:a16="http://schemas.microsoft.com/office/drawing/2014/main" id="{EFC62C57-1FFF-406D-925A-FC3558A5EDD3}"/>
            </a:ext>
          </a:extLst>
        </xdr:cNvPr>
        <xdr:cNvSpPr>
          <a:spLocks noChangeAspect="1" noChangeArrowheads="1"/>
        </xdr:cNvSpPr>
      </xdr:nvSpPr>
      <xdr:spPr bwMode="auto">
        <a:xfrm>
          <a:off x="485775" y="103822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28575</xdr:rowOff>
    </xdr:to>
    <xdr:sp macro="" textlink="">
      <xdr:nvSpPr>
        <xdr:cNvPr id="9" name="AutoShape 2" descr="blob:file:///cf7ae82e-a557-436e-9e8a-2799538085eb">
          <a:extLst>
            <a:ext uri="{FF2B5EF4-FFF2-40B4-BE49-F238E27FC236}">
              <a16:creationId xmlns="" xmlns:a16="http://schemas.microsoft.com/office/drawing/2014/main" id="{62C461A2-3994-45CA-BA07-A9A6160E67E1}"/>
            </a:ext>
          </a:extLst>
        </xdr:cNvPr>
        <xdr:cNvSpPr>
          <a:spLocks noChangeAspect="1" noChangeArrowheads="1"/>
        </xdr:cNvSpPr>
      </xdr:nvSpPr>
      <xdr:spPr bwMode="auto">
        <a:xfrm>
          <a:off x="485775" y="103822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28575</xdr:rowOff>
    </xdr:to>
    <xdr:sp macro="" textlink="">
      <xdr:nvSpPr>
        <xdr:cNvPr id="10" name="AutoShape 1" descr="blob:file:///cf7ae82e-a557-436e-9e8a-2799538085eb">
          <a:extLst>
            <a:ext uri="{FF2B5EF4-FFF2-40B4-BE49-F238E27FC236}">
              <a16:creationId xmlns="" xmlns:a16="http://schemas.microsoft.com/office/drawing/2014/main" id="{4F73AEF1-53EA-4E93-B7A0-34E146A2BD3D}"/>
            </a:ext>
          </a:extLst>
        </xdr:cNvPr>
        <xdr:cNvSpPr>
          <a:spLocks noChangeAspect="1" noChangeArrowheads="1"/>
        </xdr:cNvSpPr>
      </xdr:nvSpPr>
      <xdr:spPr bwMode="auto">
        <a:xfrm>
          <a:off x="485775" y="10382250"/>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161925</xdr:rowOff>
    </xdr:to>
    <xdr:sp macro="" textlink="">
      <xdr:nvSpPr>
        <xdr:cNvPr id="11" name="AutoShape 1" descr="blob:file:///cf7ae82e-a557-436e-9e8a-2799538085eb">
          <a:extLst>
            <a:ext uri="{FF2B5EF4-FFF2-40B4-BE49-F238E27FC236}">
              <a16:creationId xmlns="" xmlns:a16="http://schemas.microsoft.com/office/drawing/2014/main" id="{9E4C31B1-A1A5-4E95-AB72-43F40C7B5DE9}"/>
            </a:ext>
          </a:extLst>
        </xdr:cNvPr>
        <xdr:cNvSpPr>
          <a:spLocks noChangeAspect="1" noChangeArrowheads="1"/>
        </xdr:cNvSpPr>
      </xdr:nvSpPr>
      <xdr:spPr bwMode="auto">
        <a:xfrm>
          <a:off x="485775" y="103822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161925</xdr:rowOff>
    </xdr:to>
    <xdr:sp macro="" textlink="">
      <xdr:nvSpPr>
        <xdr:cNvPr id="12" name="AutoShape 2" descr="blob:file:///cf7ae82e-a557-436e-9e8a-2799538085eb">
          <a:extLst>
            <a:ext uri="{FF2B5EF4-FFF2-40B4-BE49-F238E27FC236}">
              <a16:creationId xmlns="" xmlns:a16="http://schemas.microsoft.com/office/drawing/2014/main" id="{79922E12-E466-4638-B666-E339FFD89DD2}"/>
            </a:ext>
          </a:extLst>
        </xdr:cNvPr>
        <xdr:cNvSpPr>
          <a:spLocks noChangeAspect="1" noChangeArrowheads="1"/>
        </xdr:cNvSpPr>
      </xdr:nvSpPr>
      <xdr:spPr bwMode="auto">
        <a:xfrm>
          <a:off x="485775" y="103822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20</xdr:row>
      <xdr:rowOff>0</xdr:rowOff>
    </xdr:from>
    <xdr:to>
      <xdr:col>1</xdr:col>
      <xdr:colOff>304800</xdr:colOff>
      <xdr:row>20</xdr:row>
      <xdr:rowOff>161925</xdr:rowOff>
    </xdr:to>
    <xdr:sp macro="" textlink="">
      <xdr:nvSpPr>
        <xdr:cNvPr id="13" name="AutoShape 1" descr="blob:file:///cf7ae82e-a557-436e-9e8a-2799538085eb">
          <a:extLst>
            <a:ext uri="{FF2B5EF4-FFF2-40B4-BE49-F238E27FC236}">
              <a16:creationId xmlns="" xmlns:a16="http://schemas.microsoft.com/office/drawing/2014/main" id="{5BF637BA-59E1-469E-9C80-B4AD9EC2CE28}"/>
            </a:ext>
          </a:extLst>
        </xdr:cNvPr>
        <xdr:cNvSpPr>
          <a:spLocks noChangeAspect="1" noChangeArrowheads="1"/>
        </xdr:cNvSpPr>
      </xdr:nvSpPr>
      <xdr:spPr bwMode="auto">
        <a:xfrm>
          <a:off x="485775" y="1038225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0HO%20SO%20ROI/ROI%20NAM%202024/9.%20BAO%20CAO%20GIAI%20NGAN/25.%20BC%20&#273;&#7847;u%20t&#432;%20c&#244;ng%20chu&#7849;n%20b&#7883;%20n&#7897;i%20dung%20H&#7897;i%20ngh&#7883;%20Ban%20Ch&#7845;p%20h&#224;nh%20&#272;&#7843;ng%20b&#7897;%20T&#7881;nh%20l&#7847;n%20th&#7913;%2017/6.%20KEM%20BIEU%20MAU%20BAO%20CAO%20KH%20VON%202024%20(02-5-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HO%20SO%20ROI/ROI%20NAM%202024/9.%20BAO%20CAO%20GIAI%20NGAN/1.%20BAO%20CAO%20GIAI%20NGAN%20HANG%20TUAN/19.%20BAO%20CAO%20TUAN%2027-6-2024/2.%20Kem%20theo%20BC%20GIAI%20NGAN%20KY%20THANG%2006-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g ky tien do"/>
      <sheetName val="Đăng ky tiến độ"/>
      <sheetName val="phu luc"/>
      <sheetName val="BC "/>
      <sheetName val="BC GIAI NGAN"/>
      <sheetName val="BC TIEN DO"/>
      <sheetName val="BIEU TH"/>
      <sheetName val="BS1_ Tinh nam 2024"/>
      <sheetName val="BS2_huyen nam 2024"/>
      <sheetName val="DX NQ 45"/>
      <sheetName val="BS3_2023"/>
      <sheetName val="PL"/>
      <sheetName val="PL4-Lien he"/>
      <sheetName val="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(Kèm theo Báo cáo số         /BC-UBND ngày        tháng        năm 2024 của UBND thành phố Hồng Ngự)</v>
          </cell>
        </row>
        <row r="11">
          <cell r="B11" t="str">
            <v>Vốn Chương trình MTQG XD NTM năm 2024 (Tỉnh quản lý)</v>
          </cell>
        </row>
        <row r="15">
          <cell r="B15" t="str">
            <v>Vốn XSKT năm 2024 (Tỉnh quản lý)</v>
          </cell>
        </row>
      </sheetData>
      <sheetData sheetId="8" refreshError="1">
        <row r="10">
          <cell r="B10" t="str">
            <v>Vốn ngân sách tập trung</v>
          </cell>
        </row>
        <row r="19">
          <cell r="B19" t="str">
            <v>Vốn tiền sử dụng đất</v>
          </cell>
        </row>
      </sheetData>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TH"/>
      <sheetName val="BIEU CHI TIET ĐTC"/>
      <sheetName val="Vốn SN (mang tính chât đầu tư)"/>
      <sheetName val="CHI TIET (2)"/>
    </sheetNames>
    <sheetDataSet>
      <sheetData sheetId="0" refreshError="1"/>
      <sheetData sheetId="1">
        <row r="10">
          <cell r="K10">
            <v>5116</v>
          </cell>
        </row>
        <row r="13">
          <cell r="K13">
            <v>139200</v>
          </cell>
        </row>
        <row r="20">
          <cell r="B20" t="str">
            <v xml:space="preserve"> Vốn XSKT năm 2024 (Tỉnh hỗ trợ có mục tiêu) </v>
          </cell>
        </row>
        <row r="27">
          <cell r="K27">
            <v>259000</v>
          </cell>
        </row>
        <row r="34">
          <cell r="K34">
            <v>28000</v>
          </cell>
        </row>
        <row r="43">
          <cell r="K43">
            <v>270000</v>
          </cell>
        </row>
        <row r="70">
          <cell r="K70">
            <v>26811</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0"/>
  <sheetViews>
    <sheetView tabSelected="1" topLeftCell="B4" zoomScaleNormal="100" workbookViewId="0">
      <pane ySplit="3" topLeftCell="A7" activePane="bottomLeft" state="frozen"/>
      <selection activeCell="A4" sqref="A4"/>
      <selection pane="bottomLeft" activeCell="G31" sqref="G31"/>
    </sheetView>
  </sheetViews>
  <sheetFormatPr defaultColWidth="9.140625" defaultRowHeight="15.75"/>
  <cols>
    <col min="1" max="1" width="7.7109375" style="83" customWidth="1"/>
    <col min="2" max="2" width="61.7109375" style="83" customWidth="1"/>
    <col min="3" max="3" width="15.85546875" style="213" customWidth="1"/>
    <col min="4" max="4" width="13.85546875" style="213" customWidth="1"/>
    <col min="5" max="5" width="13.42578125" style="213" customWidth="1"/>
    <col min="6" max="6" width="14" style="213" customWidth="1"/>
    <col min="7" max="7" width="10.42578125" style="83" customWidth="1"/>
    <col min="8" max="8" width="15" style="83" customWidth="1"/>
    <col min="9" max="9" width="10.85546875" style="83" customWidth="1"/>
    <col min="10" max="10" width="12.7109375" style="83" customWidth="1"/>
    <col min="11" max="11" width="12.140625" style="83" customWidth="1"/>
    <col min="12" max="12" width="12.28515625" style="83" customWidth="1"/>
    <col min="13" max="13" width="14.28515625" style="83" customWidth="1"/>
    <col min="14" max="14" width="14.42578125" style="83" customWidth="1"/>
    <col min="15" max="15" width="11.42578125" style="83" bestFit="1" customWidth="1"/>
    <col min="16" max="16" width="13.85546875" style="83" customWidth="1"/>
    <col min="17" max="17" width="11.85546875" style="83" customWidth="1"/>
    <col min="18" max="18" width="9.140625" style="83"/>
    <col min="19" max="19" width="11.42578125" style="83" bestFit="1" customWidth="1"/>
    <col min="20" max="20" width="12.7109375" style="83" hidden="1" customWidth="1"/>
    <col min="21" max="21" width="11.42578125" style="83" hidden="1" customWidth="1"/>
    <col min="22" max="16384" width="9.140625" style="83"/>
  </cols>
  <sheetData>
    <row r="1" spans="1:15" ht="18.75">
      <c r="A1" s="272" t="s">
        <v>161</v>
      </c>
      <c r="B1" s="272"/>
      <c r="C1" s="272"/>
      <c r="D1" s="272"/>
      <c r="E1" s="272"/>
      <c r="F1" s="272"/>
      <c r="G1" s="272"/>
      <c r="H1" s="272"/>
      <c r="I1" s="272"/>
      <c r="J1" s="272"/>
      <c r="K1" s="272"/>
      <c r="L1" s="272"/>
    </row>
    <row r="2" spans="1:15" s="196" customFormat="1">
      <c r="A2" s="273"/>
      <c r="B2" s="273"/>
      <c r="C2" s="273"/>
      <c r="D2" s="273"/>
      <c r="E2" s="273"/>
      <c r="F2" s="273"/>
      <c r="G2" s="273"/>
      <c r="H2" s="273"/>
      <c r="I2" s="273"/>
      <c r="J2" s="273"/>
      <c r="K2" s="273"/>
      <c r="L2" s="273"/>
    </row>
    <row r="3" spans="1:15">
      <c r="A3" s="197"/>
      <c r="B3" s="197"/>
      <c r="C3" s="198"/>
      <c r="D3" s="199"/>
      <c r="E3" s="199"/>
      <c r="F3" s="199"/>
      <c r="G3" s="274" t="s">
        <v>88</v>
      </c>
      <c r="H3" s="274"/>
      <c r="I3" s="274"/>
      <c r="J3" s="274"/>
      <c r="K3" s="274"/>
      <c r="L3" s="274"/>
    </row>
    <row r="4" spans="1:15" ht="30.75" customHeight="1">
      <c r="A4" s="271" t="s">
        <v>1</v>
      </c>
      <c r="B4" s="271" t="s">
        <v>2</v>
      </c>
      <c r="C4" s="276" t="s">
        <v>89</v>
      </c>
      <c r="D4" s="276" t="s">
        <v>120</v>
      </c>
      <c r="E4" s="276"/>
      <c r="F4" s="276"/>
      <c r="G4" s="271" t="s">
        <v>31</v>
      </c>
      <c r="H4" s="271" t="s">
        <v>115</v>
      </c>
      <c r="I4" s="271" t="s">
        <v>31</v>
      </c>
      <c r="J4" s="278" t="s">
        <v>106</v>
      </c>
      <c r="K4" s="279" t="s">
        <v>32</v>
      </c>
      <c r="L4" s="271" t="s">
        <v>4</v>
      </c>
    </row>
    <row r="5" spans="1:15">
      <c r="A5" s="275"/>
      <c r="B5" s="275"/>
      <c r="C5" s="276"/>
      <c r="D5" s="271" t="s">
        <v>5</v>
      </c>
      <c r="E5" s="271" t="s">
        <v>28</v>
      </c>
      <c r="F5" s="271"/>
      <c r="G5" s="277"/>
      <c r="H5" s="271"/>
      <c r="I5" s="277"/>
      <c r="J5" s="278"/>
      <c r="K5" s="279"/>
      <c r="L5" s="271"/>
    </row>
    <row r="6" spans="1:15" ht="47.25">
      <c r="A6" s="275"/>
      <c r="B6" s="275"/>
      <c r="C6" s="276"/>
      <c r="D6" s="275"/>
      <c r="E6" s="200" t="s">
        <v>29</v>
      </c>
      <c r="F6" s="200" t="s">
        <v>30</v>
      </c>
      <c r="G6" s="277"/>
      <c r="H6" s="271"/>
      <c r="I6" s="277"/>
      <c r="J6" s="278"/>
      <c r="K6" s="279"/>
      <c r="L6" s="271"/>
    </row>
    <row r="7" spans="1:15">
      <c r="A7" s="215"/>
      <c r="B7" s="200" t="s">
        <v>33</v>
      </c>
      <c r="C7" s="200">
        <f>C8+C9</f>
        <v>809740</v>
      </c>
      <c r="D7" s="200">
        <f t="shared" ref="D7:J7" si="0">D8+D9</f>
        <v>319561.81658800005</v>
      </c>
      <c r="E7" s="200">
        <f t="shared" si="0"/>
        <v>143588.42203799999</v>
      </c>
      <c r="F7" s="200">
        <f t="shared" si="0"/>
        <v>175973.39455</v>
      </c>
      <c r="G7" s="203">
        <f>D7/C7</f>
        <v>0.3946474381752168</v>
      </c>
      <c r="H7" s="200">
        <f t="shared" si="0"/>
        <v>591463.17037800001</v>
      </c>
      <c r="I7" s="203">
        <f t="shared" ref="I7:I23" si="1">H7/C7</f>
        <v>0.73043590581915185</v>
      </c>
      <c r="J7" s="200">
        <f t="shared" si="0"/>
        <v>809740</v>
      </c>
      <c r="K7" s="203">
        <f t="shared" ref="K7:K23" si="2">J7/C7</f>
        <v>1</v>
      </c>
      <c r="L7" s="200"/>
    </row>
    <row r="8" spans="1:15" ht="18.75">
      <c r="A8" s="201"/>
      <c r="B8" s="265" t="s">
        <v>187</v>
      </c>
      <c r="C8" s="202">
        <f>C10+C13</f>
        <v>796440</v>
      </c>
      <c r="D8" s="202">
        <f>D10+D14+D17</f>
        <v>315176.36258800002</v>
      </c>
      <c r="E8" s="202">
        <f>E10+E14+E17</f>
        <v>142381.462038</v>
      </c>
      <c r="F8" s="202">
        <f>F10+F14+F17</f>
        <v>172794.90054999999</v>
      </c>
      <c r="G8" s="203">
        <f>D8/C8</f>
        <v>0.39573145822409728</v>
      </c>
      <c r="H8" s="202">
        <f>H10+H14+H17</f>
        <v>584463.17037800001</v>
      </c>
      <c r="I8" s="203">
        <f t="shared" si="1"/>
        <v>0.73384457131485115</v>
      </c>
      <c r="J8" s="202">
        <f>J10+J14+J17</f>
        <v>796440</v>
      </c>
      <c r="K8" s="203">
        <f t="shared" si="2"/>
        <v>1</v>
      </c>
      <c r="L8" s="200"/>
      <c r="M8" s="204"/>
      <c r="N8" s="107"/>
    </row>
    <row r="9" spans="1:15" ht="18.75">
      <c r="A9" s="201"/>
      <c r="B9" s="265" t="s">
        <v>188</v>
      </c>
      <c r="C9" s="263">
        <f>C21</f>
        <v>13300</v>
      </c>
      <c r="D9" s="263">
        <f t="shared" ref="D9:F9" si="3">D21</f>
        <v>4385.4539999999997</v>
      </c>
      <c r="E9" s="263">
        <f t="shared" si="3"/>
        <v>1206.96</v>
      </c>
      <c r="F9" s="263">
        <f t="shared" si="3"/>
        <v>3178.4939999999997</v>
      </c>
      <c r="G9" s="203">
        <f>D9/C9</f>
        <v>0.32973338345864661</v>
      </c>
      <c r="H9" s="263">
        <f>H21</f>
        <v>7000</v>
      </c>
      <c r="I9" s="203">
        <f t="shared" si="1"/>
        <v>0.52631578947368418</v>
      </c>
      <c r="J9" s="263">
        <f>J21</f>
        <v>13300</v>
      </c>
      <c r="K9" s="203">
        <f t="shared" si="2"/>
        <v>1</v>
      </c>
      <c r="L9" s="200"/>
      <c r="M9" s="204"/>
      <c r="N9" s="107"/>
    </row>
    <row r="10" spans="1:15" ht="18.75">
      <c r="A10" s="200" t="s">
        <v>7</v>
      </c>
      <c r="B10" s="110" t="s">
        <v>34</v>
      </c>
      <c r="C10" s="202">
        <f>SUM(C11:C12)</f>
        <v>144316</v>
      </c>
      <c r="D10" s="202">
        <f>D11+D12</f>
        <v>65121.957000000002</v>
      </c>
      <c r="E10" s="202">
        <f t="shared" ref="E10:F10" si="4">E11+E12</f>
        <v>31696.042000000001</v>
      </c>
      <c r="F10" s="202">
        <f t="shared" si="4"/>
        <v>33425.915000000001</v>
      </c>
      <c r="G10" s="203">
        <f>D10/C10</f>
        <v>0.45124557914576346</v>
      </c>
      <c r="H10" s="202">
        <f>H11+H12</f>
        <v>135200</v>
      </c>
      <c r="I10" s="203">
        <f t="shared" si="1"/>
        <v>0.9368330607832811</v>
      </c>
      <c r="J10" s="202">
        <f>J11+J12</f>
        <v>144316</v>
      </c>
      <c r="K10" s="203">
        <f t="shared" si="2"/>
        <v>1</v>
      </c>
      <c r="L10" s="200"/>
      <c r="M10" s="204"/>
      <c r="N10" s="104"/>
      <c r="O10" s="104"/>
    </row>
    <row r="11" spans="1:15" s="81" customFormat="1">
      <c r="A11" s="205">
        <v>1</v>
      </c>
      <c r="B11" s="101" t="str">
        <f>'[1]BS1_ Tinh nam 2024'!B11</f>
        <v>Vốn Chương trình MTQG XD NTM năm 2024 (Tỉnh quản lý)</v>
      </c>
      <c r="C11" s="190">
        <v>5116</v>
      </c>
      <c r="D11" s="190">
        <f>SUM(E11:F11)</f>
        <v>1441.3009999999999</v>
      </c>
      <c r="E11" s="190">
        <f>'BIEU CHI TIET'!F10</f>
        <v>144.30099999999999</v>
      </c>
      <c r="F11" s="190">
        <f>'BIEU CHI TIET'!G10</f>
        <v>1297</v>
      </c>
      <c r="G11" s="206">
        <f t="shared" ref="G11:G19" si="5">D11/C11</f>
        <v>0.28172419859265052</v>
      </c>
      <c r="H11" s="190">
        <f>'BIEU CHI TIET'!I10</f>
        <v>3600</v>
      </c>
      <c r="I11" s="206">
        <f t="shared" si="1"/>
        <v>0.7036747458952306</v>
      </c>
      <c r="J11" s="190">
        <f>'[2]BIEU CHI TIET ĐTC'!K10</f>
        <v>5116</v>
      </c>
      <c r="K11" s="206">
        <f t="shared" si="2"/>
        <v>1</v>
      </c>
      <c r="L11" s="201"/>
      <c r="M11" s="207"/>
      <c r="N11" s="104"/>
      <c r="O11" s="104"/>
    </row>
    <row r="12" spans="1:15" s="81" customFormat="1">
      <c r="A12" s="205">
        <v>2</v>
      </c>
      <c r="B12" s="208" t="str">
        <f>'[1]BS1_ Tinh nam 2024'!B15</f>
        <v>Vốn XSKT năm 2024 (Tỉnh quản lý)</v>
      </c>
      <c r="C12" s="208">
        <v>139200</v>
      </c>
      <c r="D12" s="190">
        <f>SUM(E12:F12)</f>
        <v>63680.656000000003</v>
      </c>
      <c r="E12" s="208">
        <f>'BIEU CHI TIET'!F13</f>
        <v>31551.741000000002</v>
      </c>
      <c r="F12" s="208">
        <f>'BIEU CHI TIET'!G13</f>
        <v>32128.915000000001</v>
      </c>
      <c r="G12" s="206">
        <f t="shared" si="5"/>
        <v>0.45747597701149428</v>
      </c>
      <c r="H12" s="190">
        <f>'BIEU CHI TIET'!I13</f>
        <v>131600</v>
      </c>
      <c r="I12" s="206">
        <f t="shared" si="1"/>
        <v>0.9454022988505747</v>
      </c>
      <c r="J12" s="190">
        <f>'[2]BIEU CHI TIET ĐTC'!K13</f>
        <v>139200</v>
      </c>
      <c r="K12" s="206">
        <f t="shared" si="2"/>
        <v>1</v>
      </c>
      <c r="L12" s="201"/>
      <c r="M12" s="104"/>
    </row>
    <row r="13" spans="1:15" s="113" customFormat="1">
      <c r="A13" s="209" t="s">
        <v>14</v>
      </c>
      <c r="B13" s="110" t="s">
        <v>90</v>
      </c>
      <c r="C13" s="110">
        <f>C14+C17</f>
        <v>652124</v>
      </c>
      <c r="D13" s="110">
        <f>D14+D17</f>
        <v>250054.40558799997</v>
      </c>
      <c r="E13" s="110">
        <f>E14+E17</f>
        <v>110685.42003799998</v>
      </c>
      <c r="F13" s="110">
        <f>F14+F17</f>
        <v>139368.98554999998</v>
      </c>
      <c r="G13" s="203">
        <f t="shared" si="5"/>
        <v>0.38344610164324572</v>
      </c>
      <c r="H13" s="110">
        <f>H14+H17</f>
        <v>449263.17037800001</v>
      </c>
      <c r="I13" s="203">
        <f t="shared" si="1"/>
        <v>0.68892292014708856</v>
      </c>
      <c r="J13" s="202">
        <f>J14+J17</f>
        <v>652124</v>
      </c>
      <c r="K13" s="203">
        <f t="shared" si="2"/>
        <v>1</v>
      </c>
      <c r="L13" s="200"/>
      <c r="M13" s="114"/>
    </row>
    <row r="14" spans="1:15" s="113" customFormat="1">
      <c r="A14" s="209" t="s">
        <v>8</v>
      </c>
      <c r="B14" s="110" t="s">
        <v>91</v>
      </c>
      <c r="C14" s="110">
        <f>SUM(C15:C16)</f>
        <v>327313</v>
      </c>
      <c r="D14" s="110">
        <f>SUM(D15:D16)</f>
        <v>45865.680609999996</v>
      </c>
      <c r="E14" s="110">
        <f>SUM(E15:E16)</f>
        <v>11522.465809999998</v>
      </c>
      <c r="F14" s="110">
        <f>SUM(F15:F16)</f>
        <v>34343.214800000002</v>
      </c>
      <c r="G14" s="203">
        <f t="shared" si="5"/>
        <v>0.14012789168166248</v>
      </c>
      <c r="H14" s="202">
        <f>SUM(H15:H16)</f>
        <v>186913</v>
      </c>
      <c r="I14" s="203">
        <f t="shared" si="1"/>
        <v>0.57105278433792728</v>
      </c>
      <c r="J14" s="202">
        <f>SUM(J15:J16)</f>
        <v>327313</v>
      </c>
      <c r="K14" s="203">
        <f t="shared" si="2"/>
        <v>1</v>
      </c>
      <c r="L14" s="200"/>
      <c r="M14" s="114"/>
    </row>
    <row r="15" spans="1:15" s="81" customFormat="1">
      <c r="A15" s="205">
        <v>1</v>
      </c>
      <c r="B15" s="208" t="str">
        <f>'[2]BIEU CHI TIET ĐTC'!B20</f>
        <v xml:space="preserve"> Vốn XSKT năm 2024 (Tỉnh hỗ trợ có mục tiêu) </v>
      </c>
      <c r="C15" s="208">
        <f>'BIEU CHI TIET - STC'!C22</f>
        <v>68313</v>
      </c>
      <c r="D15" s="190">
        <f t="shared" ref="D15:D23" si="6">SUM(E15:F15)</f>
        <v>26401.517800000001</v>
      </c>
      <c r="E15" s="208">
        <f>'BIEU CHI TIET - STC'!L22</f>
        <v>10496.243999999999</v>
      </c>
      <c r="F15" s="208">
        <f>'BIEU CHI TIET - STC'!M22</f>
        <v>15905.273800000001</v>
      </c>
      <c r="G15" s="206">
        <f t="shared" si="5"/>
        <v>0.38647867609386211</v>
      </c>
      <c r="H15" s="190">
        <f>'BIEU CHI TIET'!I20</f>
        <v>36200</v>
      </c>
      <c r="I15" s="206">
        <f t="shared" si="1"/>
        <v>0.52991377922211003</v>
      </c>
      <c r="J15" s="190">
        <f>'BIEU CHI TIET'!K20</f>
        <v>68313</v>
      </c>
      <c r="K15" s="206">
        <f t="shared" si="2"/>
        <v>1</v>
      </c>
      <c r="L15" s="201"/>
      <c r="M15" s="207"/>
    </row>
    <row r="16" spans="1:15" s="81" customFormat="1">
      <c r="A16" s="205">
        <v>2</v>
      </c>
      <c r="B16" s="208" t="s">
        <v>107</v>
      </c>
      <c r="C16" s="190">
        <v>259000</v>
      </c>
      <c r="D16" s="190">
        <f t="shared" si="6"/>
        <v>19464.162809999998</v>
      </c>
      <c r="E16" s="190">
        <f>'BIEU CHI TIET'!F25</f>
        <v>1026.22181</v>
      </c>
      <c r="F16" s="190">
        <f>'BIEU CHI TIET'!G25</f>
        <v>18437.940999999999</v>
      </c>
      <c r="G16" s="206">
        <f t="shared" si="5"/>
        <v>7.5151207760617747E-2</v>
      </c>
      <c r="H16" s="190">
        <f>'BIEU CHI TIET'!I25</f>
        <v>150713</v>
      </c>
      <c r="I16" s="206">
        <f t="shared" si="1"/>
        <v>0.58190347490347494</v>
      </c>
      <c r="J16" s="190">
        <f>'[2]BIEU CHI TIET ĐTC'!K27</f>
        <v>259000</v>
      </c>
      <c r="K16" s="206">
        <f t="shared" si="2"/>
        <v>1</v>
      </c>
      <c r="L16" s="201"/>
      <c r="M16" s="207"/>
    </row>
    <row r="17" spans="1:13" s="113" customFormat="1">
      <c r="A17" s="200" t="s">
        <v>12</v>
      </c>
      <c r="B17" s="110" t="s">
        <v>35</v>
      </c>
      <c r="C17" s="202">
        <f>SUM(C18:C20)</f>
        <v>324811</v>
      </c>
      <c r="D17" s="202">
        <f t="shared" ref="D17:F17" si="7">SUM(D18:D20)</f>
        <v>204188.72497799998</v>
      </c>
      <c r="E17" s="202">
        <f t="shared" si="7"/>
        <v>99162.954227999988</v>
      </c>
      <c r="F17" s="202">
        <f t="shared" si="7"/>
        <v>105025.77075</v>
      </c>
      <c r="G17" s="203">
        <f t="shared" si="5"/>
        <v>0.62863857744349783</v>
      </c>
      <c r="H17" s="202">
        <f>SUM(H18:H20)</f>
        <v>262350.17037800001</v>
      </c>
      <c r="I17" s="203">
        <f t="shared" si="1"/>
        <v>0.80770100266924461</v>
      </c>
      <c r="J17" s="202">
        <f>SUM(J18:J20)</f>
        <v>324811</v>
      </c>
      <c r="K17" s="203">
        <f t="shared" si="2"/>
        <v>1</v>
      </c>
      <c r="L17" s="210"/>
      <c r="M17" s="114"/>
    </row>
    <row r="18" spans="1:13" s="81" customFormat="1">
      <c r="A18" s="205">
        <v>1</v>
      </c>
      <c r="B18" s="211" t="str">
        <f>'[1]BS2_huyen nam 2024'!B10</f>
        <v>Vốn ngân sách tập trung</v>
      </c>
      <c r="C18" s="190">
        <v>28000</v>
      </c>
      <c r="D18" s="190">
        <f t="shared" si="6"/>
        <v>15110.752</v>
      </c>
      <c r="E18" s="190">
        <f>'BIEU CHI TIET'!F32</f>
        <v>15110.752</v>
      </c>
      <c r="F18" s="190">
        <f>'BIEU CHI TIET'!G43</f>
        <v>0</v>
      </c>
      <c r="G18" s="206">
        <f t="shared" si="5"/>
        <v>0.53966971428571431</v>
      </c>
      <c r="H18" s="190">
        <f>'BIEU CHI TIET'!I32</f>
        <v>21742</v>
      </c>
      <c r="I18" s="206">
        <f t="shared" si="1"/>
        <v>0.77649999999999997</v>
      </c>
      <c r="J18" s="190">
        <f>'[2]BIEU CHI TIET ĐTC'!K34</f>
        <v>28000</v>
      </c>
      <c r="K18" s="206">
        <f t="shared" si="2"/>
        <v>1</v>
      </c>
      <c r="L18" s="212"/>
      <c r="M18" s="207"/>
    </row>
    <row r="19" spans="1:13" s="81" customFormat="1">
      <c r="A19" s="205">
        <v>2</v>
      </c>
      <c r="B19" s="211" t="str">
        <f>'[1]BS2_huyen nam 2024'!B19</f>
        <v>Vốn tiền sử dụng đất</v>
      </c>
      <c r="C19" s="190">
        <v>270000</v>
      </c>
      <c r="D19" s="190">
        <f t="shared" si="6"/>
        <v>164328.65159999998</v>
      </c>
      <c r="E19" s="190">
        <f>'BIEU CHI TIET'!F51</f>
        <v>59302.880850000001</v>
      </c>
      <c r="F19" s="190">
        <f>'BIEU CHI TIET'!G51</f>
        <v>105025.77075</v>
      </c>
      <c r="G19" s="206">
        <f t="shared" si="5"/>
        <v>0.60862463555555546</v>
      </c>
      <c r="H19" s="190">
        <f>'BIEU CHI TIET'!I51</f>
        <v>215023.53</v>
      </c>
      <c r="I19" s="206">
        <f t="shared" si="1"/>
        <v>0.79638344444444442</v>
      </c>
      <c r="J19" s="190">
        <f>'[2]BIEU CHI TIET ĐTC'!K43</f>
        <v>270000</v>
      </c>
      <c r="K19" s="206">
        <f t="shared" si="2"/>
        <v>1</v>
      </c>
      <c r="L19" s="212"/>
      <c r="M19" s="207"/>
    </row>
    <row r="20" spans="1:13" s="81" customFormat="1" ht="34.5" customHeight="1">
      <c r="A20" s="205">
        <v>3</v>
      </c>
      <c r="B20" s="211" t="s">
        <v>118</v>
      </c>
      <c r="C20" s="190">
        <f>'BIEU CHI TIET - STC'!C93</f>
        <v>26811</v>
      </c>
      <c r="D20" s="190">
        <f t="shared" si="6"/>
        <v>24749.321378000001</v>
      </c>
      <c r="E20" s="190">
        <f>'BIEU CHI TIET - STC'!L93</f>
        <v>24749.321378000001</v>
      </c>
      <c r="F20" s="190">
        <f>'BIEU CHI TIET - STC'!M93</f>
        <v>0</v>
      </c>
      <c r="G20" s="206">
        <f>D20/C20</f>
        <v>0.92310325530565818</v>
      </c>
      <c r="H20" s="190">
        <f>'BIEU CHI TIET'!I91</f>
        <v>25584.640378</v>
      </c>
      <c r="I20" s="206">
        <f t="shared" si="1"/>
        <v>0.95425908686733063</v>
      </c>
      <c r="J20" s="190">
        <f>'[2]BIEU CHI TIET ĐTC'!K70</f>
        <v>26811</v>
      </c>
      <c r="K20" s="206">
        <f t="shared" si="2"/>
        <v>1</v>
      </c>
      <c r="L20" s="212"/>
      <c r="M20" s="207"/>
    </row>
    <row r="21" spans="1:13">
      <c r="A21" s="259" t="s">
        <v>186</v>
      </c>
      <c r="B21" s="260" t="s">
        <v>168</v>
      </c>
      <c r="C21" s="263">
        <f>C22+C23</f>
        <v>13300</v>
      </c>
      <c r="D21" s="263">
        <f t="shared" ref="D21:J21" si="8">D22+D23</f>
        <v>4385.4539999999997</v>
      </c>
      <c r="E21" s="263">
        <f t="shared" si="8"/>
        <v>1206.96</v>
      </c>
      <c r="F21" s="263">
        <f t="shared" si="8"/>
        <v>3178.4939999999997</v>
      </c>
      <c r="G21" s="206">
        <f t="shared" ref="G21:G23" si="9">D21/C21</f>
        <v>0.32973338345864661</v>
      </c>
      <c r="H21" s="263">
        <f t="shared" si="8"/>
        <v>7000</v>
      </c>
      <c r="I21" s="206">
        <f t="shared" si="1"/>
        <v>0.52631578947368418</v>
      </c>
      <c r="J21" s="263">
        <f t="shared" si="8"/>
        <v>13300</v>
      </c>
      <c r="K21" s="206">
        <f t="shared" si="2"/>
        <v>1</v>
      </c>
      <c r="L21" s="212"/>
    </row>
    <row r="22" spans="1:13">
      <c r="A22" s="261">
        <v>1</v>
      </c>
      <c r="B22" s="262" t="s">
        <v>169</v>
      </c>
      <c r="C22" s="264">
        <v>5800</v>
      </c>
      <c r="D22" s="190">
        <f t="shared" si="6"/>
        <v>2040.62</v>
      </c>
      <c r="E22" s="190">
        <f>'Vốn SN (mang tính chât đầu tư)'!E9</f>
        <v>778.62</v>
      </c>
      <c r="F22" s="190">
        <f>'Vốn SN (mang tính chât đầu tư)'!F9</f>
        <v>1262</v>
      </c>
      <c r="G22" s="206">
        <f t="shared" si="9"/>
        <v>0.3518310344827586</v>
      </c>
      <c r="H22" s="264">
        <v>3000</v>
      </c>
      <c r="I22" s="206">
        <f t="shared" si="1"/>
        <v>0.51724137931034486</v>
      </c>
      <c r="J22" s="264">
        <v>5800</v>
      </c>
      <c r="K22" s="206">
        <f t="shared" si="2"/>
        <v>1</v>
      </c>
      <c r="L22" s="212"/>
    </row>
    <row r="23" spans="1:13">
      <c r="A23" s="261">
        <v>2</v>
      </c>
      <c r="B23" s="262" t="s">
        <v>181</v>
      </c>
      <c r="C23" s="264">
        <v>7500</v>
      </c>
      <c r="D23" s="190">
        <f t="shared" si="6"/>
        <v>2344.8339999999998</v>
      </c>
      <c r="E23" s="190">
        <f>'Vốn SN (mang tính chât đầu tư)'!E17</f>
        <v>428.34</v>
      </c>
      <c r="F23" s="190">
        <f>'Vốn SN (mang tính chât đầu tư)'!F17</f>
        <v>1916.4939999999999</v>
      </c>
      <c r="G23" s="206">
        <f t="shared" si="9"/>
        <v>0.31264453333333331</v>
      </c>
      <c r="H23" s="264">
        <v>4000</v>
      </c>
      <c r="I23" s="206">
        <f t="shared" si="1"/>
        <v>0.53333333333333333</v>
      </c>
      <c r="J23" s="264">
        <v>7500</v>
      </c>
      <c r="K23" s="206">
        <f t="shared" si="2"/>
        <v>1</v>
      </c>
      <c r="L23" s="212"/>
    </row>
    <row r="24" spans="1:13" ht="18.75">
      <c r="B24" s="82"/>
      <c r="D24" s="204"/>
      <c r="E24" s="204"/>
    </row>
    <row r="25" spans="1:13" ht="18.75">
      <c r="B25" s="82"/>
      <c r="F25" s="214"/>
      <c r="H25" s="107"/>
    </row>
    <row r="26" spans="1:13">
      <c r="H26" s="107"/>
    </row>
    <row r="27" spans="1:13">
      <c r="F27" s="117"/>
      <c r="H27" s="107"/>
    </row>
    <row r="29" spans="1:13">
      <c r="H29" s="107"/>
    </row>
    <row r="30" spans="1:13">
      <c r="H30" s="107"/>
    </row>
  </sheetData>
  <mergeCells count="15">
    <mergeCell ref="E5:F5"/>
    <mergeCell ref="A1:L1"/>
    <mergeCell ref="A2:L2"/>
    <mergeCell ref="G3:L3"/>
    <mergeCell ref="A4:A6"/>
    <mergeCell ref="B4:B6"/>
    <mergeCell ref="C4:C6"/>
    <mergeCell ref="D4:F4"/>
    <mergeCell ref="G4:G6"/>
    <mergeCell ref="H4:H6"/>
    <mergeCell ref="I4:I6"/>
    <mergeCell ref="J4:J6"/>
    <mergeCell ref="K4:K6"/>
    <mergeCell ref="L4:L6"/>
    <mergeCell ref="D5:D6"/>
  </mergeCells>
  <printOptions horizontalCentered="1"/>
  <pageMargins left="0" right="0" top="0.5" bottom="0.5" header="0.3" footer="0.3"/>
  <pageSetup paperSize="9" scale="66" orientation="landscape" verticalDpi="0"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X96"/>
  <sheetViews>
    <sheetView zoomScale="85" zoomScaleNormal="85" workbookViewId="0">
      <selection activeCell="K93" sqref="K93"/>
    </sheetView>
  </sheetViews>
  <sheetFormatPr defaultColWidth="8.85546875" defaultRowHeight="15.75"/>
  <cols>
    <col min="1" max="1" width="5.7109375" style="142" customWidth="1"/>
    <col min="2" max="2" width="37" style="143" customWidth="1"/>
    <col min="3" max="3" width="14.28515625" style="144" customWidth="1"/>
    <col min="4" max="4" width="7.28515625" style="144" customWidth="1"/>
    <col min="5" max="5" width="7.85546875" style="144" customWidth="1"/>
    <col min="6" max="6" width="13.85546875" style="144" customWidth="1"/>
    <col min="7" max="7" width="8.5703125" style="144" customWidth="1"/>
    <col min="8" max="9" width="8.42578125" style="144" customWidth="1"/>
    <col min="10" max="10" width="8.5703125" style="144" customWidth="1"/>
    <col min="11" max="11" width="14.28515625" style="107" customWidth="1"/>
    <col min="12" max="12" width="13.5703125" style="107" customWidth="1"/>
    <col min="13" max="13" width="13.7109375" style="107" customWidth="1"/>
    <col min="14" max="14" width="8.7109375" style="107" customWidth="1"/>
    <col min="15" max="15" width="13.5703125" style="107" customWidth="1"/>
    <col min="16" max="16" width="8" style="145" customWidth="1"/>
    <col min="17" max="17" width="13.42578125" style="145" customWidth="1"/>
    <col min="18" max="18" width="11.28515625" style="145" customWidth="1"/>
    <col min="19" max="19" width="8.85546875" style="83" customWidth="1"/>
    <col min="20" max="20" width="20.140625" style="82" customWidth="1"/>
    <col min="21" max="21" width="20.5703125" style="83" customWidth="1"/>
    <col min="22" max="22" width="14.140625" style="83" customWidth="1"/>
    <col min="23" max="23" width="10.5703125" style="83" customWidth="1"/>
    <col min="24" max="24" width="9.7109375" style="83" bestFit="1" customWidth="1"/>
    <col min="25" max="16384" width="8.85546875" style="83"/>
  </cols>
  <sheetData>
    <row r="1" spans="1:20" ht="19.5" customHeight="1">
      <c r="A1" s="80"/>
      <c r="B1" s="80"/>
      <c r="C1" s="80"/>
      <c r="D1" s="80"/>
      <c r="E1" s="80"/>
      <c r="F1" s="80"/>
      <c r="G1" s="80"/>
      <c r="H1" s="80"/>
      <c r="I1" s="80"/>
      <c r="J1" s="80"/>
      <c r="K1" s="80"/>
      <c r="L1" s="80"/>
      <c r="M1" s="80"/>
      <c r="N1" s="80"/>
      <c r="O1" s="80"/>
      <c r="P1" s="80"/>
      <c r="Q1" s="80"/>
      <c r="R1" s="81" t="s">
        <v>121</v>
      </c>
      <c r="S1" s="80"/>
    </row>
    <row r="2" spans="1:20" ht="20.25">
      <c r="A2" s="280" t="s">
        <v>160</v>
      </c>
      <c r="B2" s="280"/>
      <c r="C2" s="280"/>
      <c r="D2" s="280"/>
      <c r="E2" s="280"/>
      <c r="F2" s="280"/>
      <c r="G2" s="280"/>
      <c r="H2" s="280"/>
      <c r="I2" s="280"/>
      <c r="J2" s="280"/>
      <c r="K2" s="280"/>
      <c r="L2" s="280"/>
      <c r="M2" s="280"/>
      <c r="N2" s="280"/>
      <c r="O2" s="280"/>
      <c r="P2" s="280"/>
      <c r="Q2" s="280"/>
      <c r="R2" s="280"/>
      <c r="S2" s="280"/>
    </row>
    <row r="3" spans="1:20">
      <c r="A3" s="281"/>
      <c r="B3" s="281"/>
      <c r="C3" s="281"/>
      <c r="D3" s="281"/>
      <c r="E3" s="281"/>
      <c r="F3" s="281"/>
      <c r="G3" s="281"/>
      <c r="H3" s="281"/>
      <c r="I3" s="281"/>
      <c r="J3" s="281"/>
      <c r="K3" s="281"/>
      <c r="L3" s="281"/>
      <c r="M3" s="281"/>
      <c r="N3" s="281"/>
      <c r="O3" s="281"/>
      <c r="P3" s="281"/>
      <c r="Q3" s="281"/>
      <c r="R3" s="281"/>
      <c r="S3" s="281"/>
    </row>
    <row r="4" spans="1:20">
      <c r="A4" s="84"/>
      <c r="B4" s="85"/>
      <c r="C4" s="86"/>
      <c r="D4" s="86"/>
      <c r="E4" s="86"/>
      <c r="F4" s="86"/>
      <c r="G4" s="86"/>
      <c r="H4" s="86"/>
      <c r="I4" s="86"/>
      <c r="J4" s="86"/>
      <c r="K4" s="86"/>
      <c r="L4" s="86"/>
      <c r="M4" s="86"/>
      <c r="N4" s="86"/>
      <c r="O4" s="86"/>
      <c r="P4" s="87"/>
      <c r="Q4" s="87"/>
      <c r="R4" s="87"/>
      <c r="S4" s="88" t="s">
        <v>85</v>
      </c>
    </row>
    <row r="5" spans="1:20" ht="31.5" customHeight="1">
      <c r="A5" s="282" t="s">
        <v>1</v>
      </c>
      <c r="B5" s="282" t="s">
        <v>2</v>
      </c>
      <c r="C5" s="283" t="s">
        <v>122</v>
      </c>
      <c r="D5" s="284"/>
      <c r="E5" s="284"/>
      <c r="F5" s="285"/>
      <c r="G5" s="286" t="s">
        <v>162</v>
      </c>
      <c r="H5" s="286"/>
      <c r="I5" s="286"/>
      <c r="J5" s="286"/>
      <c r="K5" s="286"/>
      <c r="L5" s="286"/>
      <c r="M5" s="286"/>
      <c r="N5" s="278" t="s">
        <v>31</v>
      </c>
      <c r="O5" s="278" t="s">
        <v>119</v>
      </c>
      <c r="P5" s="278"/>
      <c r="Q5" s="278"/>
      <c r="R5" s="278" t="s">
        <v>31</v>
      </c>
      <c r="S5" s="282" t="s">
        <v>4</v>
      </c>
    </row>
    <row r="6" spans="1:20" ht="27.75" customHeight="1">
      <c r="A6" s="282"/>
      <c r="B6" s="282"/>
      <c r="C6" s="286" t="s">
        <v>5</v>
      </c>
      <c r="D6" s="286" t="s">
        <v>123</v>
      </c>
      <c r="E6" s="287" t="s">
        <v>124</v>
      </c>
      <c r="F6" s="288"/>
      <c r="G6" s="289" t="s">
        <v>5</v>
      </c>
      <c r="H6" s="286" t="s">
        <v>125</v>
      </c>
      <c r="I6" s="286"/>
      <c r="J6" s="286"/>
      <c r="K6" s="296" t="s">
        <v>126</v>
      </c>
      <c r="L6" s="297"/>
      <c r="M6" s="298"/>
      <c r="N6" s="278"/>
      <c r="O6" s="286" t="s">
        <v>5</v>
      </c>
      <c r="P6" s="286" t="s">
        <v>28</v>
      </c>
      <c r="Q6" s="286"/>
      <c r="R6" s="278"/>
      <c r="S6" s="282"/>
    </row>
    <row r="7" spans="1:20" ht="15.75" customHeight="1">
      <c r="A7" s="282"/>
      <c r="B7" s="282"/>
      <c r="C7" s="286"/>
      <c r="D7" s="286"/>
      <c r="E7" s="292" t="s">
        <v>127</v>
      </c>
      <c r="F7" s="292" t="s">
        <v>128</v>
      </c>
      <c r="G7" s="290"/>
      <c r="H7" s="286" t="s">
        <v>129</v>
      </c>
      <c r="I7" s="278" t="s">
        <v>28</v>
      </c>
      <c r="J7" s="278"/>
      <c r="K7" s="294" t="s">
        <v>5</v>
      </c>
      <c r="L7" s="278" t="s">
        <v>28</v>
      </c>
      <c r="M7" s="278"/>
      <c r="N7" s="278"/>
      <c r="O7" s="286"/>
      <c r="P7" s="286" t="s">
        <v>125</v>
      </c>
      <c r="Q7" s="286" t="s">
        <v>126</v>
      </c>
      <c r="R7" s="278"/>
      <c r="S7" s="282"/>
    </row>
    <row r="8" spans="1:20" ht="115.5" customHeight="1">
      <c r="A8" s="282"/>
      <c r="B8" s="282"/>
      <c r="C8" s="286"/>
      <c r="D8" s="286"/>
      <c r="E8" s="293"/>
      <c r="F8" s="293"/>
      <c r="G8" s="291"/>
      <c r="H8" s="286"/>
      <c r="I8" s="90" t="s">
        <v>130</v>
      </c>
      <c r="J8" s="90" t="s">
        <v>30</v>
      </c>
      <c r="K8" s="295"/>
      <c r="L8" s="91" t="s">
        <v>29</v>
      </c>
      <c r="M8" s="91" t="s">
        <v>30</v>
      </c>
      <c r="N8" s="278"/>
      <c r="O8" s="286"/>
      <c r="P8" s="286"/>
      <c r="Q8" s="286"/>
      <c r="R8" s="278"/>
      <c r="S8" s="282"/>
    </row>
    <row r="9" spans="1:20">
      <c r="A9" s="90">
        <v>1</v>
      </c>
      <c r="B9" s="92">
        <v>2</v>
      </c>
      <c r="C9" s="93" t="s">
        <v>131</v>
      </c>
      <c r="D9" s="93">
        <v>4</v>
      </c>
      <c r="E9" s="92">
        <v>5</v>
      </c>
      <c r="F9" s="93">
        <v>6</v>
      </c>
      <c r="G9" s="92" t="s">
        <v>132</v>
      </c>
      <c r="H9" s="92" t="s">
        <v>133</v>
      </c>
      <c r="I9" s="92">
        <v>9</v>
      </c>
      <c r="J9" s="92">
        <v>10</v>
      </c>
      <c r="K9" s="92" t="s">
        <v>134</v>
      </c>
      <c r="L9" s="92">
        <v>12</v>
      </c>
      <c r="M9" s="92">
        <v>13</v>
      </c>
      <c r="N9" s="91"/>
      <c r="O9" s="92" t="s">
        <v>135</v>
      </c>
      <c r="P9" s="92">
        <v>15</v>
      </c>
      <c r="Q9" s="92">
        <v>16</v>
      </c>
      <c r="R9" s="91"/>
      <c r="S9" s="89"/>
    </row>
    <row r="10" spans="1:20">
      <c r="A10" s="94"/>
      <c r="B10" s="89" t="s">
        <v>6</v>
      </c>
      <c r="C10" s="95">
        <f>C11+C20</f>
        <v>796440</v>
      </c>
      <c r="D10" s="95"/>
      <c r="E10" s="95"/>
      <c r="F10" s="95">
        <f>F11+F20</f>
        <v>806440</v>
      </c>
      <c r="G10" s="95"/>
      <c r="H10" s="95"/>
      <c r="I10" s="95"/>
      <c r="J10" s="95"/>
      <c r="K10" s="95">
        <f>K11+K20</f>
        <v>315176.36258799996</v>
      </c>
      <c r="L10" s="95">
        <f t="shared" ref="L10:M10" si="0">L11+L20</f>
        <v>142381.462038</v>
      </c>
      <c r="M10" s="95">
        <f t="shared" si="0"/>
        <v>172794.90054999999</v>
      </c>
      <c r="N10" s="96">
        <f>K10/C10</f>
        <v>0.39573145822409717</v>
      </c>
      <c r="O10" s="95">
        <f>O11+O20</f>
        <v>328201.897</v>
      </c>
      <c r="P10" s="96"/>
      <c r="Q10" s="95">
        <f>Q11+Q20</f>
        <v>402559.34400000004</v>
      </c>
      <c r="R10" s="96">
        <f>O10/C10</f>
        <v>0.41208615463813975</v>
      </c>
      <c r="S10" s="97"/>
    </row>
    <row r="11" spans="1:20">
      <c r="A11" s="94" t="s">
        <v>7</v>
      </c>
      <c r="B11" s="98" t="s">
        <v>34</v>
      </c>
      <c r="C11" s="95">
        <f>C12+C15</f>
        <v>144316</v>
      </c>
      <c r="D11" s="95"/>
      <c r="E11" s="95"/>
      <c r="F11" s="95">
        <f>F12+F15</f>
        <v>144316</v>
      </c>
      <c r="G11" s="95"/>
      <c r="H11" s="95"/>
      <c r="I11" s="95"/>
      <c r="J11" s="95"/>
      <c r="K11" s="95">
        <f>K12+K15</f>
        <v>65121.957000000002</v>
      </c>
      <c r="L11" s="95">
        <f t="shared" ref="L11:M11" si="1">L12+L15</f>
        <v>31696.042000000001</v>
      </c>
      <c r="M11" s="95">
        <f t="shared" si="1"/>
        <v>33425.915000000001</v>
      </c>
      <c r="N11" s="96">
        <f>K11/C11</f>
        <v>0.45124557914576346</v>
      </c>
      <c r="O11" s="95">
        <f>O12+O15</f>
        <v>69596.655000000013</v>
      </c>
      <c r="P11" s="96"/>
      <c r="Q11" s="95">
        <f>Q12+Q15</f>
        <v>69596.655000000013</v>
      </c>
      <c r="R11" s="96">
        <f t="shared" ref="R11:R12" si="2">O11/C11</f>
        <v>0.48225182931899452</v>
      </c>
      <c r="S11" s="99"/>
    </row>
    <row r="12" spans="1:20" ht="31.5">
      <c r="A12" s="94" t="s">
        <v>8</v>
      </c>
      <c r="B12" s="98" t="s">
        <v>81</v>
      </c>
      <c r="C12" s="95">
        <f>C13+C14</f>
        <v>5116</v>
      </c>
      <c r="D12" s="95"/>
      <c r="E12" s="95"/>
      <c r="F12" s="95">
        <f>F13+F14</f>
        <v>5116</v>
      </c>
      <c r="G12" s="95"/>
      <c r="H12" s="95"/>
      <c r="I12" s="95"/>
      <c r="J12" s="95"/>
      <c r="K12" s="95">
        <f>K13+K14</f>
        <v>1441.3009999999999</v>
      </c>
      <c r="L12" s="95">
        <f>L13+L14</f>
        <v>144.30099999999999</v>
      </c>
      <c r="M12" s="95">
        <f>M13+M14</f>
        <v>1297</v>
      </c>
      <c r="N12" s="96">
        <f>K12/C12</f>
        <v>0.28172419859265052</v>
      </c>
      <c r="O12" s="95">
        <f>O13+O14</f>
        <v>1660</v>
      </c>
      <c r="P12" s="96"/>
      <c r="Q12" s="95">
        <f>Q13+Q14</f>
        <v>1660</v>
      </c>
      <c r="R12" s="96">
        <f t="shared" si="2"/>
        <v>0.32447224394057855</v>
      </c>
      <c r="S12" s="97"/>
    </row>
    <row r="13" spans="1:20" s="81" customFormat="1" ht="31.5">
      <c r="A13" s="100">
        <v>1</v>
      </c>
      <c r="B13" s="101" t="s">
        <v>82</v>
      </c>
      <c r="C13" s="74">
        <f>D13+F13</f>
        <v>2558</v>
      </c>
      <c r="D13" s="74"/>
      <c r="E13" s="74"/>
      <c r="F13" s="74">
        <v>2558</v>
      </c>
      <c r="G13" s="74"/>
      <c r="H13" s="74"/>
      <c r="I13" s="74"/>
      <c r="J13" s="74"/>
      <c r="K13" s="74">
        <f>SUM(L13:M13)</f>
        <v>792.30099999999993</v>
      </c>
      <c r="L13" s="74">
        <f>'BIEU CHI TIET'!F11</f>
        <v>144.30099999999999</v>
      </c>
      <c r="M13" s="74">
        <f>'BIEU CHI TIET'!G11</f>
        <v>648</v>
      </c>
      <c r="N13" s="102"/>
      <c r="O13" s="74">
        <f t="shared" ref="O13:O14" si="3">SUM(P13:Q13)</f>
        <v>830</v>
      </c>
      <c r="P13" s="102"/>
      <c r="Q13" s="74">
        <v>830</v>
      </c>
      <c r="R13" s="74"/>
      <c r="S13" s="103"/>
      <c r="T13" s="104"/>
    </row>
    <row r="14" spans="1:20" s="81" customFormat="1" ht="31.5">
      <c r="A14" s="100">
        <v>2</v>
      </c>
      <c r="B14" s="101" t="s">
        <v>83</v>
      </c>
      <c r="C14" s="74">
        <f>D14+F14</f>
        <v>2558</v>
      </c>
      <c r="D14" s="74"/>
      <c r="E14" s="74"/>
      <c r="F14" s="74">
        <v>2558</v>
      </c>
      <c r="G14" s="74"/>
      <c r="H14" s="74"/>
      <c r="I14" s="74"/>
      <c r="J14" s="74"/>
      <c r="K14" s="74">
        <f>SUM(L14:M14)</f>
        <v>649</v>
      </c>
      <c r="L14" s="74">
        <f>'BIEU CHI TIET'!F12</f>
        <v>0</v>
      </c>
      <c r="M14" s="74">
        <f>'BIEU CHI TIET'!G12</f>
        <v>649</v>
      </c>
      <c r="N14" s="102"/>
      <c r="O14" s="74">
        <f t="shared" si="3"/>
        <v>830</v>
      </c>
      <c r="P14" s="102"/>
      <c r="Q14" s="74">
        <v>830</v>
      </c>
      <c r="R14" s="74"/>
      <c r="S14" s="103"/>
      <c r="T14" s="104"/>
    </row>
    <row r="15" spans="1:20">
      <c r="A15" s="94" t="s">
        <v>12</v>
      </c>
      <c r="B15" s="98" t="s">
        <v>136</v>
      </c>
      <c r="C15" s="95">
        <f>SUM(C16:C19)</f>
        <v>139200</v>
      </c>
      <c r="D15" s="95"/>
      <c r="E15" s="95"/>
      <c r="F15" s="95">
        <f>SUM(F16:F19)</f>
        <v>139200</v>
      </c>
      <c r="G15" s="95"/>
      <c r="H15" s="95"/>
      <c r="I15" s="95"/>
      <c r="J15" s="95"/>
      <c r="K15" s="95">
        <f>SUM(K16:K19)</f>
        <v>63680.656000000003</v>
      </c>
      <c r="L15" s="95">
        <f t="shared" ref="L15:M15" si="4">SUM(L16:L19)</f>
        <v>31551.741000000002</v>
      </c>
      <c r="M15" s="95">
        <f t="shared" si="4"/>
        <v>32128.915000000001</v>
      </c>
      <c r="N15" s="96">
        <f>K15/C15</f>
        <v>0.45747597701149428</v>
      </c>
      <c r="O15" s="95">
        <f>SUM(O16:O19)</f>
        <v>67936.655000000013</v>
      </c>
      <c r="P15" s="96"/>
      <c r="Q15" s="95">
        <f>SUM(Q16:Q19)</f>
        <v>67936.655000000013</v>
      </c>
      <c r="R15" s="96">
        <f t="shared" ref="R15" si="5">O15/C15</f>
        <v>0.48805068247126449</v>
      </c>
      <c r="S15" s="97"/>
    </row>
    <row r="16" spans="1:20">
      <c r="A16" s="100">
        <v>1</v>
      </c>
      <c r="B16" s="105" t="s">
        <v>38</v>
      </c>
      <c r="C16" s="74">
        <f t="shared" ref="C16:C24" si="6">D16+F16</f>
        <v>40100</v>
      </c>
      <c r="D16" s="106"/>
      <c r="E16" s="106"/>
      <c r="F16" s="106">
        <v>40100</v>
      </c>
      <c r="G16" s="106"/>
      <c r="H16" s="106"/>
      <c r="I16" s="106"/>
      <c r="J16" s="106"/>
      <c r="K16" s="74">
        <f t="shared" ref="K16:K24" si="7">SUM(L16:M16)</f>
        <v>22086.133000000002</v>
      </c>
      <c r="L16" s="74">
        <f>'BIEU CHI TIET'!F14</f>
        <v>13896.221</v>
      </c>
      <c r="M16" s="74">
        <f>'BIEU CHI TIET'!G14</f>
        <v>8189.9120000000003</v>
      </c>
      <c r="N16" s="96"/>
      <c r="O16" s="74">
        <f>SUM(P16:Q16)</f>
        <v>22086.133000000002</v>
      </c>
      <c r="P16" s="96"/>
      <c r="Q16" s="74">
        <v>22086.133000000002</v>
      </c>
      <c r="R16" s="74"/>
      <c r="S16" s="97"/>
    </row>
    <row r="17" spans="1:23">
      <c r="A17" s="100">
        <v>2</v>
      </c>
      <c r="B17" s="105" t="s">
        <v>37</v>
      </c>
      <c r="C17" s="74">
        <f t="shared" si="6"/>
        <v>53100</v>
      </c>
      <c r="D17" s="106"/>
      <c r="E17" s="106"/>
      <c r="F17" s="106">
        <v>53100</v>
      </c>
      <c r="G17" s="106"/>
      <c r="H17" s="106"/>
      <c r="I17" s="106"/>
      <c r="J17" s="106"/>
      <c r="K17" s="74">
        <f t="shared" si="7"/>
        <v>16419.592000000001</v>
      </c>
      <c r="L17" s="74">
        <f>'BIEU CHI TIET'!F15</f>
        <v>9120.277</v>
      </c>
      <c r="M17" s="74">
        <f>'BIEU CHI TIET'!G15</f>
        <v>7299.3150000000005</v>
      </c>
      <c r="N17" s="96"/>
      <c r="O17" s="74">
        <f t="shared" ref="O17:O24" si="8">SUM(P17:Q17)</f>
        <v>20675.592000000001</v>
      </c>
      <c r="P17" s="96"/>
      <c r="Q17" s="74">
        <v>20675.592000000001</v>
      </c>
      <c r="R17" s="74"/>
      <c r="S17" s="97"/>
      <c r="W17" s="107"/>
    </row>
    <row r="18" spans="1:23">
      <c r="A18" s="100">
        <v>3</v>
      </c>
      <c r="B18" s="105" t="s">
        <v>39</v>
      </c>
      <c r="C18" s="74">
        <f t="shared" si="6"/>
        <v>16000</v>
      </c>
      <c r="D18" s="108"/>
      <c r="E18" s="108"/>
      <c r="F18" s="108">
        <v>16000</v>
      </c>
      <c r="G18" s="108"/>
      <c r="H18" s="108"/>
      <c r="I18" s="108"/>
      <c r="J18" s="108"/>
      <c r="K18" s="74">
        <f t="shared" si="7"/>
        <v>8976.82</v>
      </c>
      <c r="L18" s="74">
        <f>'BIEU CHI TIET'!F16</f>
        <v>7855.9889999999996</v>
      </c>
      <c r="M18" s="74">
        <f>'BIEU CHI TIET'!G16</f>
        <v>1120.8309999999999</v>
      </c>
      <c r="N18" s="96"/>
      <c r="O18" s="74">
        <f t="shared" si="8"/>
        <v>8976.8189999999995</v>
      </c>
      <c r="P18" s="96"/>
      <c r="Q18" s="74">
        <v>8976.8189999999995</v>
      </c>
      <c r="R18" s="74"/>
      <c r="S18" s="97"/>
      <c r="W18" s="107"/>
    </row>
    <row r="19" spans="1:23">
      <c r="A19" s="100">
        <v>4</v>
      </c>
      <c r="B19" s="105" t="s">
        <v>13</v>
      </c>
      <c r="C19" s="74">
        <f t="shared" si="6"/>
        <v>30000</v>
      </c>
      <c r="D19" s="109"/>
      <c r="E19" s="109"/>
      <c r="F19" s="109">
        <v>30000</v>
      </c>
      <c r="G19" s="109"/>
      <c r="H19" s="109"/>
      <c r="I19" s="109"/>
      <c r="J19" s="109"/>
      <c r="K19" s="74">
        <f t="shared" si="7"/>
        <v>16198.111000000001</v>
      </c>
      <c r="L19" s="74">
        <f>'BIEU CHI TIET'!F17</f>
        <v>679.25400000000002</v>
      </c>
      <c r="M19" s="74">
        <f>'BIEU CHI TIET'!G17</f>
        <v>15518.857</v>
      </c>
      <c r="N19" s="96"/>
      <c r="O19" s="74">
        <f t="shared" si="8"/>
        <v>16198.111000000001</v>
      </c>
      <c r="P19" s="96"/>
      <c r="Q19" s="74">
        <v>16198.111000000001</v>
      </c>
      <c r="R19" s="74"/>
      <c r="S19" s="97"/>
      <c r="W19" s="107"/>
    </row>
    <row r="20" spans="1:23" s="113" customFormat="1">
      <c r="A20" s="94" t="s">
        <v>14</v>
      </c>
      <c r="B20" s="110" t="s">
        <v>137</v>
      </c>
      <c r="C20" s="95">
        <f>C21+C33</f>
        <v>652124</v>
      </c>
      <c r="D20" s="111"/>
      <c r="E20" s="111"/>
      <c r="F20" s="95">
        <f>F21+F33</f>
        <v>662124</v>
      </c>
      <c r="G20" s="111"/>
      <c r="H20" s="111"/>
      <c r="I20" s="111"/>
      <c r="J20" s="111"/>
      <c r="K20" s="95">
        <f t="shared" ref="K20:M20" si="9">K21+K33</f>
        <v>250054.40558799997</v>
      </c>
      <c r="L20" s="95">
        <f t="shared" si="9"/>
        <v>110685.42003799998</v>
      </c>
      <c r="M20" s="95">
        <f t="shared" si="9"/>
        <v>139368.98554999998</v>
      </c>
      <c r="N20" s="96">
        <f t="shared" ref="N20:N22" si="10">K20/C20</f>
        <v>0.38344610164324572</v>
      </c>
      <c r="O20" s="95">
        <f>O21+O33</f>
        <v>258605.24199999997</v>
      </c>
      <c r="P20" s="96"/>
      <c r="Q20" s="95">
        <f>Q21+Q33</f>
        <v>332962.68900000001</v>
      </c>
      <c r="R20" s="96">
        <f t="shared" ref="R20:R22" si="11">O20/C20</f>
        <v>0.39655838766860285</v>
      </c>
      <c r="S20" s="97"/>
      <c r="T20" s="112"/>
      <c r="W20" s="114"/>
    </row>
    <row r="21" spans="1:23" s="113" customFormat="1" ht="31.5">
      <c r="A21" s="94" t="s">
        <v>8</v>
      </c>
      <c r="B21" s="115" t="s">
        <v>91</v>
      </c>
      <c r="C21" s="95">
        <f>C22+C27</f>
        <v>327313</v>
      </c>
      <c r="D21" s="111"/>
      <c r="E21" s="111"/>
      <c r="F21" s="95">
        <f>F22+F27</f>
        <v>327313</v>
      </c>
      <c r="G21" s="111"/>
      <c r="H21" s="111"/>
      <c r="I21" s="111"/>
      <c r="J21" s="111"/>
      <c r="K21" s="95">
        <f t="shared" ref="K21:M21" si="12">K22+K27</f>
        <v>45865.680609999996</v>
      </c>
      <c r="L21" s="95">
        <f t="shared" si="12"/>
        <v>11522.465809999998</v>
      </c>
      <c r="M21" s="95">
        <f t="shared" si="12"/>
        <v>34343.214800000002</v>
      </c>
      <c r="N21" s="96">
        <f t="shared" si="10"/>
        <v>0.14012789168166248</v>
      </c>
      <c r="O21" s="95">
        <f>O22+O27</f>
        <v>67196.312999999995</v>
      </c>
      <c r="P21" s="96"/>
      <c r="Q21" s="95">
        <f>Q22+Q27</f>
        <v>68794.994999999995</v>
      </c>
      <c r="R21" s="96">
        <f t="shared" si="11"/>
        <v>0.20529680458765767</v>
      </c>
      <c r="S21" s="97"/>
      <c r="T21" s="112"/>
      <c r="W21" s="114"/>
    </row>
    <row r="22" spans="1:23" s="113" customFormat="1" ht="31.5">
      <c r="A22" s="94">
        <v>1</v>
      </c>
      <c r="B22" s="115" t="s">
        <v>108</v>
      </c>
      <c r="C22" s="95">
        <f>C23+C24+C25+C26</f>
        <v>68313</v>
      </c>
      <c r="D22" s="111"/>
      <c r="E22" s="111"/>
      <c r="F22" s="95">
        <f>F23+F24+F25+F26</f>
        <v>68313</v>
      </c>
      <c r="G22" s="111"/>
      <c r="H22" s="111"/>
      <c r="I22" s="111"/>
      <c r="J22" s="111"/>
      <c r="K22" s="95">
        <f t="shared" ref="K22:M22" si="13">K23+K24+K25+K26</f>
        <v>26401.517799999998</v>
      </c>
      <c r="L22" s="95">
        <f t="shared" si="13"/>
        <v>10496.243999999999</v>
      </c>
      <c r="M22" s="95">
        <f t="shared" si="13"/>
        <v>15905.273800000001</v>
      </c>
      <c r="N22" s="96">
        <f t="shared" si="10"/>
        <v>0.38647867609386205</v>
      </c>
      <c r="O22" s="95">
        <f t="shared" ref="O22" si="14">O23+O24</f>
        <v>23181.607</v>
      </c>
      <c r="P22" s="96"/>
      <c r="Q22" s="95">
        <f>Q23+Q24+Q25+Q26</f>
        <v>24780.289000000001</v>
      </c>
      <c r="R22" s="96">
        <f t="shared" si="11"/>
        <v>0.33934400480142873</v>
      </c>
      <c r="S22" s="97"/>
      <c r="T22" s="112"/>
      <c r="W22" s="114"/>
    </row>
    <row r="23" spans="1:23" ht="30.75" customHeight="1">
      <c r="A23" s="100" t="s">
        <v>93</v>
      </c>
      <c r="B23" s="105" t="s">
        <v>50</v>
      </c>
      <c r="C23" s="74">
        <f t="shared" si="6"/>
        <v>26113</v>
      </c>
      <c r="D23" s="106"/>
      <c r="E23" s="106"/>
      <c r="F23" s="106">
        <v>26113</v>
      </c>
      <c r="G23" s="106"/>
      <c r="H23" s="106"/>
      <c r="I23" s="106"/>
      <c r="J23" s="106"/>
      <c r="K23" s="74">
        <f t="shared" si="7"/>
        <v>987.26299999999992</v>
      </c>
      <c r="L23" s="74">
        <f>'BIEU CHI TIET'!F21</f>
        <v>361.47899999999998</v>
      </c>
      <c r="M23" s="74">
        <f>'BIEU CHI TIET'!G21</f>
        <v>625.78399999999999</v>
      </c>
      <c r="N23" s="95"/>
      <c r="O23" s="74">
        <f t="shared" si="8"/>
        <v>981.60699999999997</v>
      </c>
      <c r="P23" s="95"/>
      <c r="Q23" s="74">
        <v>981.60699999999997</v>
      </c>
      <c r="R23" s="74"/>
      <c r="S23" s="97"/>
    </row>
    <row r="24" spans="1:23" ht="31.5">
      <c r="A24" s="100" t="s">
        <v>96</v>
      </c>
      <c r="B24" s="116" t="s">
        <v>24</v>
      </c>
      <c r="C24" s="74">
        <f t="shared" si="6"/>
        <v>22200</v>
      </c>
      <c r="D24" s="106"/>
      <c r="E24" s="106"/>
      <c r="F24" s="106">
        <v>22200</v>
      </c>
      <c r="G24" s="106"/>
      <c r="H24" s="106"/>
      <c r="I24" s="106"/>
      <c r="J24" s="106"/>
      <c r="K24" s="74">
        <f t="shared" si="7"/>
        <v>21938.805</v>
      </c>
      <c r="L24" s="74">
        <f>'BIEU CHI TIET'!F22</f>
        <v>8760.5859999999993</v>
      </c>
      <c r="M24" s="74">
        <f>'BIEU CHI TIET'!G22</f>
        <v>13178.219000000001</v>
      </c>
      <c r="N24" s="96"/>
      <c r="O24" s="74">
        <f t="shared" si="8"/>
        <v>22200</v>
      </c>
      <c r="P24" s="96"/>
      <c r="Q24" s="74">
        <v>22200</v>
      </c>
      <c r="R24" s="74"/>
      <c r="S24" s="97"/>
      <c r="T24" s="117"/>
      <c r="U24" s="107"/>
    </row>
    <row r="25" spans="1:23">
      <c r="A25" s="100" t="s">
        <v>97</v>
      </c>
      <c r="B25" s="116" t="s">
        <v>65</v>
      </c>
      <c r="C25" s="74">
        <f t="shared" ref="C25:C26" si="15">D25+F25</f>
        <v>13000</v>
      </c>
      <c r="D25" s="106"/>
      <c r="E25" s="106"/>
      <c r="F25" s="106">
        <v>13000</v>
      </c>
      <c r="G25" s="106"/>
      <c r="H25" s="106"/>
      <c r="I25" s="106"/>
      <c r="J25" s="106"/>
      <c r="K25" s="74">
        <f>SUM(L25:M25)</f>
        <v>3475.4497999999999</v>
      </c>
      <c r="L25" s="74">
        <f>'BIEU CHI TIET'!F23</f>
        <v>1374.1790000000001</v>
      </c>
      <c r="M25" s="74">
        <f>'BIEU CHI TIET'!G23</f>
        <v>2101.2707999999998</v>
      </c>
      <c r="N25" s="96"/>
      <c r="O25" s="74">
        <f t="shared" ref="O25:O26" si="16">SUM(P25:Q25)</f>
        <v>1598.682</v>
      </c>
      <c r="P25" s="96"/>
      <c r="Q25" s="106">
        <v>1598.682</v>
      </c>
      <c r="R25" s="106"/>
      <c r="S25" s="103"/>
    </row>
    <row r="26" spans="1:23">
      <c r="A26" s="100" t="s">
        <v>159</v>
      </c>
      <c r="B26" s="116" t="s">
        <v>66</v>
      </c>
      <c r="C26" s="74">
        <f t="shared" si="15"/>
        <v>7000</v>
      </c>
      <c r="D26" s="106"/>
      <c r="E26" s="106"/>
      <c r="F26" s="106">
        <v>7000</v>
      </c>
      <c r="G26" s="106"/>
      <c r="H26" s="106"/>
      <c r="I26" s="106"/>
      <c r="J26" s="106"/>
      <c r="K26" s="74">
        <f>SUM(L26:M26)</f>
        <v>0</v>
      </c>
      <c r="L26" s="74">
        <f>'BIEU CHI TIET'!F24</f>
        <v>0</v>
      </c>
      <c r="M26" s="74">
        <f>'BIEU CHI TIET'!G24</f>
        <v>0</v>
      </c>
      <c r="N26" s="96"/>
      <c r="O26" s="74">
        <f t="shared" si="16"/>
        <v>0</v>
      </c>
      <c r="P26" s="96"/>
      <c r="Q26" s="118">
        <v>0</v>
      </c>
      <c r="R26" s="106"/>
      <c r="S26" s="97"/>
    </row>
    <row r="27" spans="1:23" ht="31.5">
      <c r="A27" s="119">
        <v>3</v>
      </c>
      <c r="B27" s="120" t="s">
        <v>86</v>
      </c>
      <c r="C27" s="121">
        <f>SUM(C28:C32)</f>
        <v>259000</v>
      </c>
      <c r="D27" s="121"/>
      <c r="E27" s="121"/>
      <c r="F27" s="121">
        <f>SUM(F28:F32)</f>
        <v>259000</v>
      </c>
      <c r="G27" s="121"/>
      <c r="H27" s="121"/>
      <c r="I27" s="121"/>
      <c r="J27" s="121"/>
      <c r="K27" s="121">
        <f>SUM(K28:K32)</f>
        <v>19464.162810000002</v>
      </c>
      <c r="L27" s="121">
        <f>SUM(L28:L32)</f>
        <v>1026.22181</v>
      </c>
      <c r="M27" s="121">
        <f>SUM(M28:M32)</f>
        <v>18437.940999999999</v>
      </c>
      <c r="N27" s="96">
        <f>K27/C27</f>
        <v>7.5151207760617761E-2</v>
      </c>
      <c r="O27" s="121">
        <f>SUM(O28:O32)</f>
        <v>44014.705999999998</v>
      </c>
      <c r="P27" s="96"/>
      <c r="Q27" s="121">
        <f>SUM(Q28:Q32)</f>
        <v>44014.705999999998</v>
      </c>
      <c r="R27" s="96">
        <f t="shared" ref="R27" si="17">O27/C27</f>
        <v>0.16994094980694979</v>
      </c>
      <c r="S27" s="97"/>
    </row>
    <row r="28" spans="1:23" ht="31.5">
      <c r="A28" s="122" t="s">
        <v>101</v>
      </c>
      <c r="B28" s="105" t="s">
        <v>67</v>
      </c>
      <c r="C28" s="74">
        <f t="shared" ref="C28:C32" si="18">D28+F28</f>
        <v>83113</v>
      </c>
      <c r="D28" s="106"/>
      <c r="E28" s="106"/>
      <c r="F28" s="106">
        <v>83113</v>
      </c>
      <c r="G28" s="106"/>
      <c r="H28" s="106"/>
      <c r="I28" s="106"/>
      <c r="J28" s="106"/>
      <c r="K28" s="74">
        <f>SUM(L28:M28)</f>
        <v>10725.05781</v>
      </c>
      <c r="L28" s="74">
        <f>'BIEU CHI TIET'!F26</f>
        <v>287.11680999999999</v>
      </c>
      <c r="M28" s="74">
        <f>'BIEU CHI TIET'!G26</f>
        <v>10437.941000000001</v>
      </c>
      <c r="N28" s="95"/>
      <c r="O28" s="74">
        <f t="shared" ref="O28:O32" si="19">SUM(P28:Q28)</f>
        <v>21596.940999999999</v>
      </c>
      <c r="P28" s="95"/>
      <c r="Q28" s="74">
        <f>M28+11159</f>
        <v>21596.940999999999</v>
      </c>
      <c r="R28" s="74"/>
      <c r="S28" s="97"/>
    </row>
    <row r="29" spans="1:23" ht="50.25" customHeight="1">
      <c r="A29" s="122" t="s">
        <v>102</v>
      </c>
      <c r="B29" s="105" t="s">
        <v>68</v>
      </c>
      <c r="C29" s="74">
        <f t="shared" si="18"/>
        <v>50000</v>
      </c>
      <c r="D29" s="106"/>
      <c r="E29" s="106"/>
      <c r="F29" s="106">
        <v>50000</v>
      </c>
      <c r="G29" s="106"/>
      <c r="H29" s="106"/>
      <c r="I29" s="106"/>
      <c r="J29" s="106"/>
      <c r="K29" s="74">
        <f>SUM(L29:M29)</f>
        <v>0</v>
      </c>
      <c r="L29" s="74">
        <f>'BIEU CHI TIET'!F27</f>
        <v>0</v>
      </c>
      <c r="M29" s="74">
        <f>'BIEU CHI TIET'!G27</f>
        <v>0</v>
      </c>
      <c r="N29" s="96"/>
      <c r="O29" s="74">
        <f t="shared" si="19"/>
        <v>11500</v>
      </c>
      <c r="P29" s="96"/>
      <c r="Q29" s="74">
        <v>11500</v>
      </c>
      <c r="R29" s="102"/>
      <c r="S29" s="97"/>
    </row>
    <row r="30" spans="1:23">
      <c r="A30" s="122" t="s">
        <v>103</v>
      </c>
      <c r="B30" s="105" t="s">
        <v>69</v>
      </c>
      <c r="C30" s="74">
        <f t="shared" si="18"/>
        <v>50000</v>
      </c>
      <c r="D30" s="106"/>
      <c r="E30" s="106"/>
      <c r="F30" s="106">
        <v>50000</v>
      </c>
      <c r="G30" s="106"/>
      <c r="H30" s="106"/>
      <c r="I30" s="106"/>
      <c r="J30" s="106"/>
      <c r="K30" s="74">
        <f>SUM(L30:M30)</f>
        <v>0</v>
      </c>
      <c r="L30" s="74">
        <f>'BIEU CHI TIET'!F28</f>
        <v>0</v>
      </c>
      <c r="M30" s="74">
        <f>'BIEU CHI TIET'!G28</f>
        <v>0</v>
      </c>
      <c r="N30" s="95"/>
      <c r="O30" s="74">
        <f t="shared" si="19"/>
        <v>0</v>
      </c>
      <c r="P30" s="95"/>
      <c r="Q30" s="75"/>
      <c r="R30" s="74"/>
      <c r="S30" s="97"/>
    </row>
    <row r="31" spans="1:23" ht="31.5">
      <c r="A31" s="122" t="s">
        <v>104</v>
      </c>
      <c r="B31" s="105" t="s">
        <v>50</v>
      </c>
      <c r="C31" s="74">
        <f t="shared" si="18"/>
        <v>13887</v>
      </c>
      <c r="D31" s="106"/>
      <c r="E31" s="106"/>
      <c r="F31" s="106">
        <v>13887</v>
      </c>
      <c r="G31" s="106"/>
      <c r="H31" s="106"/>
      <c r="I31" s="106"/>
      <c r="J31" s="106"/>
      <c r="K31" s="74">
        <f>SUM(L31:M31)</f>
        <v>0</v>
      </c>
      <c r="L31" s="74">
        <f>'BIEU CHI TIET'!F29</f>
        <v>0</v>
      </c>
      <c r="M31" s="74">
        <f>'BIEU CHI TIET'!G29</f>
        <v>0</v>
      </c>
      <c r="N31" s="95"/>
      <c r="O31" s="74">
        <f t="shared" si="19"/>
        <v>917.76499999999999</v>
      </c>
      <c r="P31" s="95"/>
      <c r="Q31" s="76">
        <v>917.76499999999999</v>
      </c>
      <c r="R31" s="74"/>
      <c r="S31" s="97"/>
    </row>
    <row r="32" spans="1:23">
      <c r="A32" s="122" t="s">
        <v>105</v>
      </c>
      <c r="B32" s="105" t="s">
        <v>70</v>
      </c>
      <c r="C32" s="74">
        <f t="shared" si="18"/>
        <v>62000</v>
      </c>
      <c r="D32" s="106"/>
      <c r="E32" s="106"/>
      <c r="F32" s="106">
        <v>62000</v>
      </c>
      <c r="G32" s="106"/>
      <c r="H32" s="106"/>
      <c r="I32" s="106"/>
      <c r="J32" s="106"/>
      <c r="K32" s="74">
        <f>SUM(L32:M32)</f>
        <v>8739.1049999999996</v>
      </c>
      <c r="L32" s="74">
        <f>'BIEU CHI TIET'!F30</f>
        <v>739.10500000000002</v>
      </c>
      <c r="M32" s="74">
        <f>'BIEU CHI TIET'!G30</f>
        <v>8000</v>
      </c>
      <c r="N32" s="95"/>
      <c r="O32" s="74">
        <f t="shared" si="19"/>
        <v>10000</v>
      </c>
      <c r="P32" s="95"/>
      <c r="Q32" s="74">
        <v>10000</v>
      </c>
      <c r="R32" s="74"/>
      <c r="S32" s="103"/>
    </row>
    <row r="33" spans="1:20">
      <c r="A33" s="123" t="s">
        <v>12</v>
      </c>
      <c r="B33" s="124" t="s">
        <v>35</v>
      </c>
      <c r="C33" s="125">
        <f>C34+C53+C93</f>
        <v>324811</v>
      </c>
      <c r="D33" s="125"/>
      <c r="E33" s="125"/>
      <c r="F33" s="125">
        <f>F34+F53+F93</f>
        <v>334811</v>
      </c>
      <c r="G33" s="125"/>
      <c r="H33" s="125"/>
      <c r="I33" s="125"/>
      <c r="J33" s="125"/>
      <c r="K33" s="125">
        <f t="shared" ref="K33:M33" si="20">K34+K53+K93</f>
        <v>204188.72497799998</v>
      </c>
      <c r="L33" s="125">
        <f t="shared" si="20"/>
        <v>99162.954227999988</v>
      </c>
      <c r="M33" s="125">
        <f t="shared" si="20"/>
        <v>105025.77075</v>
      </c>
      <c r="N33" s="96">
        <f>K33/C33</f>
        <v>0.62863857744349783</v>
      </c>
      <c r="O33" s="125">
        <f>O34+O53+O93</f>
        <v>191408.92899999997</v>
      </c>
      <c r="P33" s="96"/>
      <c r="Q33" s="125">
        <f>Q34+Q53+Q93</f>
        <v>264167.69400000002</v>
      </c>
      <c r="R33" s="96">
        <f t="shared" ref="R33:R34" si="21">O33/C33</f>
        <v>0.58929324745775225</v>
      </c>
      <c r="S33" s="103"/>
    </row>
    <row r="34" spans="1:20">
      <c r="A34" s="90">
        <v>1</v>
      </c>
      <c r="B34" s="126" t="s">
        <v>138</v>
      </c>
      <c r="C34" s="127">
        <f>C35+C43+C38</f>
        <v>28000</v>
      </c>
      <c r="D34" s="127"/>
      <c r="E34" s="127"/>
      <c r="F34" s="127">
        <f>F35+F43+F38</f>
        <v>28000</v>
      </c>
      <c r="G34" s="127"/>
      <c r="H34" s="127"/>
      <c r="I34" s="127"/>
      <c r="J34" s="127"/>
      <c r="K34" s="127">
        <f t="shared" ref="K34:M34" si="22">K35+K43+K38</f>
        <v>15110.752</v>
      </c>
      <c r="L34" s="127">
        <f t="shared" si="22"/>
        <v>15110.752</v>
      </c>
      <c r="M34" s="127">
        <f t="shared" si="22"/>
        <v>0</v>
      </c>
      <c r="N34" s="96">
        <f>K34/C34</f>
        <v>0.53966971428571431</v>
      </c>
      <c r="O34" s="127">
        <f>O35+O43+O38</f>
        <v>15104.43</v>
      </c>
      <c r="P34" s="96"/>
      <c r="Q34" s="127">
        <f>Q35+Q43+Q38</f>
        <v>15534.43</v>
      </c>
      <c r="R34" s="96">
        <f t="shared" si="21"/>
        <v>0.53944392857142853</v>
      </c>
      <c r="S34" s="103"/>
    </row>
    <row r="35" spans="1:20" ht="31.5">
      <c r="A35" s="90" t="s">
        <v>93</v>
      </c>
      <c r="B35" s="126" t="s">
        <v>71</v>
      </c>
      <c r="C35" s="127">
        <f t="shared" ref="C35:Q35" si="23">C36</f>
        <v>700</v>
      </c>
      <c r="D35" s="127"/>
      <c r="E35" s="127"/>
      <c r="F35" s="127">
        <f t="shared" si="23"/>
        <v>700</v>
      </c>
      <c r="G35" s="127"/>
      <c r="H35" s="127"/>
      <c r="I35" s="127"/>
      <c r="J35" s="127"/>
      <c r="K35" s="127">
        <f t="shared" si="23"/>
        <v>0</v>
      </c>
      <c r="L35" s="127">
        <f t="shared" si="23"/>
        <v>0</v>
      </c>
      <c r="M35" s="127">
        <f t="shared" si="23"/>
        <v>0</v>
      </c>
      <c r="N35" s="96"/>
      <c r="O35" s="127">
        <f t="shared" si="23"/>
        <v>0</v>
      </c>
      <c r="P35" s="95"/>
      <c r="Q35" s="127">
        <f t="shared" si="23"/>
        <v>0</v>
      </c>
      <c r="R35" s="127"/>
      <c r="S35" s="97"/>
    </row>
    <row r="36" spans="1:20" s="81" customFormat="1" ht="31.5">
      <c r="A36" s="92">
        <v>1</v>
      </c>
      <c r="B36" s="128" t="s">
        <v>18</v>
      </c>
      <c r="C36" s="74">
        <f>C37</f>
        <v>700</v>
      </c>
      <c r="D36" s="106"/>
      <c r="E36" s="106"/>
      <c r="F36" s="106">
        <f>F37</f>
        <v>700</v>
      </c>
      <c r="G36" s="106"/>
      <c r="H36" s="106"/>
      <c r="I36" s="106"/>
      <c r="J36" s="106"/>
      <c r="K36" s="74">
        <f>SUM(L36:M36)</f>
        <v>0</v>
      </c>
      <c r="L36" s="74">
        <f t="shared" ref="L36:M36" si="24">SUM(M36:N36)</f>
        <v>0</v>
      </c>
      <c r="M36" s="74">
        <f t="shared" si="24"/>
        <v>0</v>
      </c>
      <c r="N36" s="96"/>
      <c r="O36" s="74">
        <f t="shared" ref="O36" si="25">SUM(P36:Q36)</f>
        <v>0</v>
      </c>
      <c r="P36" s="96"/>
      <c r="Q36" s="106"/>
      <c r="R36" s="106"/>
      <c r="S36" s="97"/>
      <c r="T36" s="104"/>
    </row>
    <row r="37" spans="1:20" s="81" customFormat="1" ht="31.5">
      <c r="A37" s="92"/>
      <c r="B37" s="129" t="s">
        <v>140</v>
      </c>
      <c r="C37" s="74">
        <f>D37+F37</f>
        <v>700</v>
      </c>
      <c r="D37" s="106"/>
      <c r="E37" s="106"/>
      <c r="F37" s="106">
        <v>700</v>
      </c>
      <c r="G37" s="106"/>
      <c r="H37" s="106"/>
      <c r="I37" s="106"/>
      <c r="J37" s="106"/>
      <c r="K37" s="74">
        <f>SUM(L37:M37)</f>
        <v>0</v>
      </c>
      <c r="L37" s="74">
        <f>'BIEU CHI TIET'!F35</f>
        <v>0</v>
      </c>
      <c r="M37" s="74">
        <f>'BIEU CHI TIET'!G35</f>
        <v>0</v>
      </c>
      <c r="N37" s="96"/>
      <c r="O37" s="74"/>
      <c r="P37" s="96"/>
      <c r="Q37" s="106"/>
      <c r="R37" s="106"/>
      <c r="S37" s="97"/>
      <c r="T37" s="104"/>
    </row>
    <row r="38" spans="1:20">
      <c r="A38" s="90" t="s">
        <v>96</v>
      </c>
      <c r="B38" s="126" t="s">
        <v>9</v>
      </c>
      <c r="C38" s="127">
        <f>C39+C41</f>
        <v>18430</v>
      </c>
      <c r="D38" s="127"/>
      <c r="E38" s="127"/>
      <c r="F38" s="127">
        <f>F39+F41</f>
        <v>18430</v>
      </c>
      <c r="G38" s="127"/>
      <c r="H38" s="127"/>
      <c r="I38" s="127"/>
      <c r="J38" s="127"/>
      <c r="K38" s="127">
        <f t="shared" ref="K38:M38" si="26">K39+K41</f>
        <v>14798.752</v>
      </c>
      <c r="L38" s="127">
        <f t="shared" si="26"/>
        <v>14798.752</v>
      </c>
      <c r="M38" s="127">
        <f t="shared" si="26"/>
        <v>0</v>
      </c>
      <c r="N38" s="96"/>
      <c r="O38" s="127">
        <f t="shared" ref="C38:Q39" si="27">O39</f>
        <v>14798.752</v>
      </c>
      <c r="P38" s="96"/>
      <c r="Q38" s="127">
        <f>Q39+Q41</f>
        <v>15228.752</v>
      </c>
      <c r="R38" s="127"/>
      <c r="S38" s="97"/>
    </row>
    <row r="39" spans="1:20">
      <c r="A39" s="90"/>
      <c r="B39" s="126" t="s">
        <v>23</v>
      </c>
      <c r="C39" s="127">
        <f t="shared" si="27"/>
        <v>18000</v>
      </c>
      <c r="D39" s="127"/>
      <c r="E39" s="127"/>
      <c r="F39" s="127">
        <f t="shared" si="27"/>
        <v>18000</v>
      </c>
      <c r="G39" s="127"/>
      <c r="H39" s="127"/>
      <c r="I39" s="127"/>
      <c r="J39" s="127"/>
      <c r="K39" s="127">
        <f t="shared" si="27"/>
        <v>14798.752</v>
      </c>
      <c r="L39" s="127">
        <f t="shared" si="27"/>
        <v>14798.752</v>
      </c>
      <c r="M39" s="127">
        <f t="shared" si="27"/>
        <v>0</v>
      </c>
      <c r="N39" s="96"/>
      <c r="O39" s="127">
        <f t="shared" si="27"/>
        <v>14798.752</v>
      </c>
      <c r="P39" s="96"/>
      <c r="Q39" s="127">
        <f t="shared" si="27"/>
        <v>14798.752</v>
      </c>
      <c r="R39" s="127"/>
      <c r="S39" s="97"/>
    </row>
    <row r="40" spans="1:20" s="104" customFormat="1" ht="31.5">
      <c r="A40" s="92">
        <v>1</v>
      </c>
      <c r="B40" s="128" t="s">
        <v>24</v>
      </c>
      <c r="C40" s="74">
        <f>D40+F40</f>
        <v>18000</v>
      </c>
      <c r="D40" s="106"/>
      <c r="E40" s="106"/>
      <c r="F40" s="106">
        <v>18000</v>
      </c>
      <c r="G40" s="106"/>
      <c r="H40" s="106"/>
      <c r="I40" s="106"/>
      <c r="J40" s="106"/>
      <c r="K40" s="74">
        <f>SUM(L40:M40)</f>
        <v>14798.752</v>
      </c>
      <c r="L40" s="74">
        <f>'BIEU CHI TIET'!F38</f>
        <v>14798.752</v>
      </c>
      <c r="M40" s="74">
        <f>'BIEU CHI TIET'!G38</f>
        <v>0</v>
      </c>
      <c r="N40" s="102"/>
      <c r="O40" s="74">
        <f t="shared" ref="O40" si="28">SUM(P40:Q40)</f>
        <v>14798.752</v>
      </c>
      <c r="P40" s="102"/>
      <c r="Q40" s="74">
        <v>14798.752</v>
      </c>
      <c r="R40" s="106"/>
      <c r="S40" s="130"/>
    </row>
    <row r="41" spans="1:20" s="112" customFormat="1">
      <c r="A41" s="90"/>
      <c r="B41" s="126" t="s">
        <v>141</v>
      </c>
      <c r="C41" s="95">
        <f>C42</f>
        <v>430</v>
      </c>
      <c r="D41" s="127"/>
      <c r="E41" s="127"/>
      <c r="F41" s="127">
        <f>F42</f>
        <v>430</v>
      </c>
      <c r="G41" s="127"/>
      <c r="H41" s="127"/>
      <c r="I41" s="127"/>
      <c r="J41" s="127"/>
      <c r="K41" s="95">
        <f>K42</f>
        <v>0</v>
      </c>
      <c r="L41" s="95">
        <f t="shared" ref="L41:M41" si="29">L42</f>
        <v>0</v>
      </c>
      <c r="M41" s="95">
        <f t="shared" si="29"/>
        <v>0</v>
      </c>
      <c r="N41" s="96"/>
      <c r="O41" s="95">
        <f>O42</f>
        <v>430</v>
      </c>
      <c r="P41" s="96"/>
      <c r="Q41" s="95">
        <f>Q42</f>
        <v>430</v>
      </c>
      <c r="R41" s="127"/>
      <c r="S41" s="89"/>
    </row>
    <row r="42" spans="1:20" s="104" customFormat="1" ht="31.5">
      <c r="A42" s="92"/>
      <c r="B42" s="131" t="s">
        <v>43</v>
      </c>
      <c r="C42" s="74">
        <f>D42+F42</f>
        <v>430</v>
      </c>
      <c r="D42" s="106"/>
      <c r="E42" s="106"/>
      <c r="F42" s="106">
        <v>430</v>
      </c>
      <c r="G42" s="106"/>
      <c r="H42" s="106"/>
      <c r="I42" s="106"/>
      <c r="J42" s="106"/>
      <c r="K42" s="74">
        <f>SUM(L42:M42)</f>
        <v>0</v>
      </c>
      <c r="L42" s="74">
        <f>'BIEU CHI TIET'!F40</f>
        <v>0</v>
      </c>
      <c r="M42" s="74">
        <f>'BIEU CHI TIET'!G40</f>
        <v>0</v>
      </c>
      <c r="N42" s="102"/>
      <c r="O42" s="74">
        <f>SUM(P42:Q42)</f>
        <v>430</v>
      </c>
      <c r="P42" s="102"/>
      <c r="Q42" s="74">
        <v>430</v>
      </c>
      <c r="R42" s="106"/>
      <c r="S42" s="130"/>
    </row>
    <row r="43" spans="1:20">
      <c r="A43" s="90" t="s">
        <v>97</v>
      </c>
      <c r="B43" s="126" t="s">
        <v>72</v>
      </c>
      <c r="C43" s="127">
        <f>C44+C47+C49+C51</f>
        <v>8870</v>
      </c>
      <c r="D43" s="127"/>
      <c r="E43" s="127"/>
      <c r="F43" s="127">
        <f>F44+F47+F49+F51</f>
        <v>8870</v>
      </c>
      <c r="G43" s="127"/>
      <c r="H43" s="127"/>
      <c r="I43" s="127"/>
      <c r="J43" s="127"/>
      <c r="K43" s="127">
        <f t="shared" ref="K43:M43" si="30">K44+K47+K49+K51</f>
        <v>312</v>
      </c>
      <c r="L43" s="127">
        <f t="shared" si="30"/>
        <v>312</v>
      </c>
      <c r="M43" s="127">
        <f t="shared" si="30"/>
        <v>0</v>
      </c>
      <c r="N43" s="132"/>
      <c r="O43" s="127">
        <f t="shared" ref="O43:Q43" si="31">O44</f>
        <v>305.678</v>
      </c>
      <c r="P43" s="132"/>
      <c r="Q43" s="127">
        <f t="shared" si="31"/>
        <v>305.678</v>
      </c>
      <c r="R43" s="127"/>
      <c r="S43" s="130"/>
    </row>
    <row r="44" spans="1:20">
      <c r="A44" s="90"/>
      <c r="B44" s="126" t="s">
        <v>10</v>
      </c>
      <c r="C44" s="127">
        <f>SUM(C45:C46)</f>
        <v>2112</v>
      </c>
      <c r="D44" s="127"/>
      <c r="E44" s="127"/>
      <c r="F44" s="127">
        <f>SUM(F45:F46)</f>
        <v>2112</v>
      </c>
      <c r="G44" s="127"/>
      <c r="H44" s="127"/>
      <c r="I44" s="127"/>
      <c r="J44" s="127"/>
      <c r="K44" s="127">
        <f t="shared" ref="K44:M44" si="32">SUM(K45:K46)</f>
        <v>312</v>
      </c>
      <c r="L44" s="127">
        <f t="shared" si="32"/>
        <v>312</v>
      </c>
      <c r="M44" s="127">
        <f t="shared" si="32"/>
        <v>0</v>
      </c>
      <c r="N44" s="133"/>
      <c r="O44" s="127">
        <f t="shared" ref="O44:Q44" si="33">SUM(O45:O45)</f>
        <v>305.678</v>
      </c>
      <c r="P44" s="133"/>
      <c r="Q44" s="127">
        <f t="shared" si="33"/>
        <v>305.678</v>
      </c>
      <c r="R44" s="127"/>
      <c r="S44" s="103"/>
    </row>
    <row r="45" spans="1:20">
      <c r="A45" s="92">
        <v>1</v>
      </c>
      <c r="B45" s="128" t="s">
        <v>13</v>
      </c>
      <c r="C45" s="74">
        <f>D45+F45</f>
        <v>312</v>
      </c>
      <c r="D45" s="106"/>
      <c r="E45" s="106"/>
      <c r="F45" s="106">
        <v>312</v>
      </c>
      <c r="G45" s="106"/>
      <c r="H45" s="106"/>
      <c r="I45" s="106"/>
      <c r="J45" s="106"/>
      <c r="K45" s="74">
        <f>SUM(L45:M45)</f>
        <v>312</v>
      </c>
      <c r="L45" s="79">
        <f>'BIEU CHI TIET'!F43</f>
        <v>312</v>
      </c>
      <c r="M45" s="79">
        <f>'BIEU CHI TIET'!G43</f>
        <v>0</v>
      </c>
      <c r="N45" s="96"/>
      <c r="O45" s="74">
        <f t="shared" ref="O45:O52" si="34">SUM(P45:Q45)</f>
        <v>305.678</v>
      </c>
      <c r="P45" s="96"/>
      <c r="Q45" s="79">
        <v>305.678</v>
      </c>
      <c r="R45" s="106"/>
      <c r="S45" s="97"/>
    </row>
    <row r="46" spans="1:20" s="81" customFormat="1">
      <c r="A46" s="92">
        <v>2</v>
      </c>
      <c r="B46" s="128" t="s">
        <v>142</v>
      </c>
      <c r="C46" s="74">
        <f>D46+F46</f>
        <v>1800</v>
      </c>
      <c r="D46" s="106"/>
      <c r="E46" s="106"/>
      <c r="F46" s="106">
        <v>1800</v>
      </c>
      <c r="G46" s="106"/>
      <c r="H46" s="106"/>
      <c r="I46" s="106"/>
      <c r="J46" s="106"/>
      <c r="K46" s="74">
        <f t="shared" ref="K46:K52" si="35">SUM(L46:M46)</f>
        <v>0</v>
      </c>
      <c r="L46" s="79">
        <f>'BIEU CHI TIET'!F44</f>
        <v>0</v>
      </c>
      <c r="M46" s="79">
        <f>'BIEU CHI TIET'!G44</f>
        <v>0</v>
      </c>
      <c r="N46" s="96"/>
      <c r="O46" s="74">
        <f t="shared" si="34"/>
        <v>0</v>
      </c>
      <c r="P46" s="96"/>
      <c r="Q46" s="79">
        <v>0</v>
      </c>
      <c r="R46" s="106"/>
      <c r="S46" s="97"/>
      <c r="T46" s="104"/>
    </row>
    <row r="47" spans="1:20" s="113" customFormat="1">
      <c r="A47" s="90"/>
      <c r="B47" s="126" t="s">
        <v>11</v>
      </c>
      <c r="C47" s="95">
        <f t="shared" ref="C47:C52" si="36">D47+F47</f>
        <v>1758</v>
      </c>
      <c r="D47" s="127"/>
      <c r="E47" s="127"/>
      <c r="F47" s="127">
        <f>F48</f>
        <v>1758</v>
      </c>
      <c r="G47" s="127"/>
      <c r="H47" s="127"/>
      <c r="I47" s="127"/>
      <c r="J47" s="127"/>
      <c r="K47" s="127">
        <f t="shared" ref="K47:O47" si="37">K48</f>
        <v>0</v>
      </c>
      <c r="L47" s="127">
        <f t="shared" si="37"/>
        <v>0</v>
      </c>
      <c r="M47" s="127">
        <f t="shared" si="37"/>
        <v>0</v>
      </c>
      <c r="N47" s="96"/>
      <c r="O47" s="127">
        <f t="shared" si="37"/>
        <v>0</v>
      </c>
      <c r="P47" s="96"/>
      <c r="Q47" s="127">
        <f t="shared" ref="Q47" si="38">Q48</f>
        <v>0</v>
      </c>
      <c r="R47" s="127"/>
      <c r="S47" s="97"/>
      <c r="T47" s="112"/>
    </row>
    <row r="48" spans="1:20" s="81" customFormat="1" ht="31.5">
      <c r="A48" s="92">
        <v>3</v>
      </c>
      <c r="B48" s="128" t="s">
        <v>143</v>
      </c>
      <c r="C48" s="74">
        <f t="shared" si="36"/>
        <v>1758</v>
      </c>
      <c r="D48" s="106"/>
      <c r="E48" s="106"/>
      <c r="F48" s="106">
        <v>1758</v>
      </c>
      <c r="G48" s="106"/>
      <c r="H48" s="106"/>
      <c r="I48" s="106"/>
      <c r="J48" s="106"/>
      <c r="K48" s="74">
        <f t="shared" si="35"/>
        <v>0</v>
      </c>
      <c r="L48" s="79">
        <f>'BIEU CHI TIET'!F46</f>
        <v>0</v>
      </c>
      <c r="M48" s="79">
        <f>'BIEU CHI TIET'!G46</f>
        <v>0</v>
      </c>
      <c r="N48" s="96"/>
      <c r="O48" s="74">
        <f t="shared" si="34"/>
        <v>0</v>
      </c>
      <c r="P48" s="96"/>
      <c r="Q48" s="74">
        <f t="shared" ref="Q48:Q52" si="39">SUM(R48:S48)</f>
        <v>0</v>
      </c>
      <c r="R48" s="106"/>
      <c r="S48" s="97"/>
      <c r="T48" s="104"/>
    </row>
    <row r="49" spans="1:20" s="113" customFormat="1">
      <c r="A49" s="90"/>
      <c r="B49" s="126" t="s">
        <v>23</v>
      </c>
      <c r="C49" s="95">
        <f t="shared" si="36"/>
        <v>3000</v>
      </c>
      <c r="D49" s="127"/>
      <c r="E49" s="127"/>
      <c r="F49" s="127">
        <f>F50</f>
        <v>3000</v>
      </c>
      <c r="G49" s="127"/>
      <c r="H49" s="127"/>
      <c r="I49" s="127"/>
      <c r="J49" s="127"/>
      <c r="K49" s="127">
        <f t="shared" ref="K49:O49" si="40">K50</f>
        <v>0</v>
      </c>
      <c r="L49" s="127">
        <f t="shared" si="40"/>
        <v>0</v>
      </c>
      <c r="M49" s="127">
        <f t="shared" si="40"/>
        <v>0</v>
      </c>
      <c r="N49" s="96"/>
      <c r="O49" s="127">
        <f t="shared" si="40"/>
        <v>0</v>
      </c>
      <c r="P49" s="96"/>
      <c r="Q49" s="127">
        <f t="shared" ref="Q49" si="41">Q50</f>
        <v>0</v>
      </c>
      <c r="R49" s="127"/>
      <c r="S49" s="97"/>
      <c r="T49" s="112"/>
    </row>
    <row r="50" spans="1:20" s="81" customFormat="1">
      <c r="A50" s="92">
        <v>4</v>
      </c>
      <c r="B50" s="128" t="s">
        <v>117</v>
      </c>
      <c r="C50" s="74">
        <f t="shared" si="36"/>
        <v>3000</v>
      </c>
      <c r="D50" s="106"/>
      <c r="E50" s="106"/>
      <c r="F50" s="106">
        <v>3000</v>
      </c>
      <c r="G50" s="106"/>
      <c r="H50" s="106"/>
      <c r="I50" s="106"/>
      <c r="J50" s="106"/>
      <c r="K50" s="74">
        <f t="shared" si="35"/>
        <v>0</v>
      </c>
      <c r="L50" s="79">
        <f>'BIEU CHI TIET'!F48</f>
        <v>0</v>
      </c>
      <c r="M50" s="79">
        <f>'BIEU CHI TIET'!G48</f>
        <v>0</v>
      </c>
      <c r="N50" s="96"/>
      <c r="O50" s="74">
        <f t="shared" si="34"/>
        <v>0</v>
      </c>
      <c r="P50" s="96"/>
      <c r="Q50" s="74">
        <f t="shared" si="39"/>
        <v>0</v>
      </c>
      <c r="R50" s="106"/>
      <c r="S50" s="97"/>
      <c r="T50" s="104"/>
    </row>
    <row r="51" spans="1:20" s="81" customFormat="1">
      <c r="A51" s="92"/>
      <c r="B51" s="126" t="s">
        <v>144</v>
      </c>
      <c r="C51" s="95">
        <f t="shared" si="36"/>
        <v>2000</v>
      </c>
      <c r="D51" s="106"/>
      <c r="E51" s="106"/>
      <c r="F51" s="127">
        <f>F52</f>
        <v>2000</v>
      </c>
      <c r="G51" s="106"/>
      <c r="H51" s="106"/>
      <c r="I51" s="106"/>
      <c r="J51" s="106"/>
      <c r="K51" s="127">
        <f t="shared" ref="K51:O51" si="42">K52</f>
        <v>0</v>
      </c>
      <c r="L51" s="127">
        <f t="shared" si="42"/>
        <v>0</v>
      </c>
      <c r="M51" s="127">
        <f t="shared" si="42"/>
        <v>0</v>
      </c>
      <c r="N51" s="96"/>
      <c r="O51" s="127">
        <f t="shared" si="42"/>
        <v>0</v>
      </c>
      <c r="P51" s="96"/>
      <c r="Q51" s="127">
        <f t="shared" ref="Q51" si="43">Q52</f>
        <v>0</v>
      </c>
      <c r="R51" s="106"/>
      <c r="S51" s="97"/>
      <c r="T51" s="104"/>
    </row>
    <row r="52" spans="1:20" s="81" customFormat="1" ht="31.5">
      <c r="A52" s="92">
        <v>5</v>
      </c>
      <c r="B52" s="128" t="s">
        <v>145</v>
      </c>
      <c r="C52" s="74">
        <f t="shared" si="36"/>
        <v>2000</v>
      </c>
      <c r="D52" s="106"/>
      <c r="E52" s="106"/>
      <c r="F52" s="106">
        <v>2000</v>
      </c>
      <c r="G52" s="106"/>
      <c r="H52" s="106"/>
      <c r="I52" s="106"/>
      <c r="J52" s="106"/>
      <c r="K52" s="74">
        <f t="shared" si="35"/>
        <v>0</v>
      </c>
      <c r="L52" s="79">
        <f>'BIEU CHI TIET'!F50</f>
        <v>0</v>
      </c>
      <c r="M52" s="79">
        <f>'BIEU CHI TIET'!G50</f>
        <v>0</v>
      </c>
      <c r="N52" s="96"/>
      <c r="O52" s="74">
        <f t="shared" si="34"/>
        <v>0</v>
      </c>
      <c r="P52" s="96"/>
      <c r="Q52" s="74">
        <f t="shared" si="39"/>
        <v>0</v>
      </c>
      <c r="R52" s="106"/>
      <c r="S52" s="97"/>
      <c r="T52" s="104"/>
    </row>
    <row r="53" spans="1:20">
      <c r="A53" s="90">
        <v>2</v>
      </c>
      <c r="B53" s="126" t="s">
        <v>139</v>
      </c>
      <c r="C53" s="127">
        <f>C54+C71+C83</f>
        <v>270000</v>
      </c>
      <c r="D53" s="127"/>
      <c r="E53" s="127"/>
      <c r="F53" s="127">
        <f>F54+F71+F83</f>
        <v>280000</v>
      </c>
      <c r="G53" s="127"/>
      <c r="H53" s="127"/>
      <c r="I53" s="127"/>
      <c r="J53" s="127"/>
      <c r="K53" s="127">
        <f>K54+K71+K83</f>
        <v>164328.65159999998</v>
      </c>
      <c r="L53" s="127">
        <f>L54+L71+L83</f>
        <v>59302.880850000001</v>
      </c>
      <c r="M53" s="127">
        <f>M54+M71+M83</f>
        <v>105025.77075</v>
      </c>
      <c r="N53" s="96">
        <f>K53/C53</f>
        <v>0.60862463555555546</v>
      </c>
      <c r="O53" s="127">
        <f>O54+O71+O83</f>
        <v>151319.49899999998</v>
      </c>
      <c r="P53" s="96"/>
      <c r="Q53" s="127">
        <f>Q54+Q71+Q83</f>
        <v>223648.26400000002</v>
      </c>
      <c r="R53" s="96">
        <f t="shared" ref="R53" si="44">O53/C53</f>
        <v>0.56044258888888887</v>
      </c>
      <c r="S53" s="103"/>
    </row>
    <row r="54" spans="1:20" ht="31.5">
      <c r="A54" s="90" t="s">
        <v>98</v>
      </c>
      <c r="B54" s="126" t="s">
        <v>15</v>
      </c>
      <c r="C54" s="127">
        <f>C55+C69</f>
        <v>17300</v>
      </c>
      <c r="D54" s="127"/>
      <c r="E54" s="127"/>
      <c r="F54" s="127">
        <f>F55+F69</f>
        <v>17300</v>
      </c>
      <c r="G54" s="127"/>
      <c r="H54" s="127"/>
      <c r="I54" s="127"/>
      <c r="J54" s="127"/>
      <c r="K54" s="127">
        <f>K55+K69</f>
        <v>13799.806</v>
      </c>
      <c r="L54" s="127">
        <f>L55+L69</f>
        <v>13799.806</v>
      </c>
      <c r="M54" s="127">
        <f>M55+M69</f>
        <v>0</v>
      </c>
      <c r="N54" s="96"/>
      <c r="O54" s="127">
        <f>O55+O69</f>
        <v>16618.349999999999</v>
      </c>
      <c r="P54" s="96"/>
      <c r="Q54" s="127">
        <f>Q55+Q69</f>
        <v>13733.45</v>
      </c>
      <c r="R54" s="127"/>
      <c r="S54" s="97"/>
    </row>
    <row r="55" spans="1:20">
      <c r="A55" s="90"/>
      <c r="B55" s="126" t="s">
        <v>16</v>
      </c>
      <c r="C55" s="127">
        <f>C56+C67</f>
        <v>3100</v>
      </c>
      <c r="D55" s="127"/>
      <c r="E55" s="127"/>
      <c r="F55" s="127">
        <f>F56+F67</f>
        <v>3100</v>
      </c>
      <c r="G55" s="127"/>
      <c r="H55" s="127"/>
      <c r="I55" s="127"/>
      <c r="J55" s="127"/>
      <c r="K55" s="127">
        <f t="shared" ref="K55:M55" si="45">K56+K67</f>
        <v>1508.806</v>
      </c>
      <c r="L55" s="127">
        <f t="shared" si="45"/>
        <v>1508.806</v>
      </c>
      <c r="M55" s="127">
        <f t="shared" si="45"/>
        <v>0</v>
      </c>
      <c r="N55" s="102"/>
      <c r="O55" s="127">
        <f>SUM(O56:O67)</f>
        <v>4327.3500000000004</v>
      </c>
      <c r="P55" s="102"/>
      <c r="Q55" s="127">
        <f t="shared" ref="Q55" si="46">Q56+Q67</f>
        <v>1442.45</v>
      </c>
      <c r="R55" s="127"/>
      <c r="S55" s="130"/>
    </row>
    <row r="56" spans="1:20" ht="63">
      <c r="A56" s="92">
        <v>1</v>
      </c>
      <c r="B56" s="128" t="s">
        <v>17</v>
      </c>
      <c r="C56" s="74">
        <f>C57+C58</f>
        <v>2400</v>
      </c>
      <c r="D56" s="106"/>
      <c r="E56" s="106"/>
      <c r="F56" s="74">
        <f>F57+F58</f>
        <v>2400</v>
      </c>
      <c r="G56" s="106"/>
      <c r="H56" s="106"/>
      <c r="I56" s="106"/>
      <c r="J56" s="106"/>
      <c r="K56" s="74">
        <f t="shared" ref="K56:M56" si="47">K57+K58</f>
        <v>1508.806</v>
      </c>
      <c r="L56" s="74">
        <f t="shared" si="47"/>
        <v>1508.806</v>
      </c>
      <c r="M56" s="74">
        <f t="shared" si="47"/>
        <v>0</v>
      </c>
      <c r="N56" s="96"/>
      <c r="O56" s="74">
        <f t="shared" ref="O56" si="48">SUM(P56:Q56)</f>
        <v>1442.45</v>
      </c>
      <c r="P56" s="96"/>
      <c r="Q56" s="74">
        <f>Q57+Q58</f>
        <v>1442.45</v>
      </c>
      <c r="R56" s="134"/>
      <c r="S56" s="89"/>
    </row>
    <row r="57" spans="1:20" s="81" customFormat="1" ht="31.5">
      <c r="A57" s="92" t="s">
        <v>93</v>
      </c>
      <c r="B57" s="128" t="s">
        <v>146</v>
      </c>
      <c r="C57" s="74">
        <v>576.47</v>
      </c>
      <c r="D57" s="106"/>
      <c r="E57" s="106"/>
      <c r="F57" s="74">
        <v>576.47</v>
      </c>
      <c r="G57" s="106"/>
      <c r="H57" s="106"/>
      <c r="I57" s="106"/>
      <c r="J57" s="106"/>
      <c r="K57" s="74"/>
      <c r="L57" s="134"/>
      <c r="M57" s="134"/>
      <c r="N57" s="96"/>
      <c r="O57" s="74"/>
      <c r="P57" s="96"/>
      <c r="Q57" s="134"/>
      <c r="R57" s="134"/>
      <c r="S57" s="89"/>
      <c r="T57" s="104"/>
    </row>
    <row r="58" spans="1:20" s="81" customFormat="1">
      <c r="A58" s="92" t="s">
        <v>96</v>
      </c>
      <c r="B58" s="128" t="s">
        <v>147</v>
      </c>
      <c r="C58" s="74">
        <f>SUM(C59:C66)</f>
        <v>1823.53</v>
      </c>
      <c r="D58" s="106"/>
      <c r="E58" s="106"/>
      <c r="F58" s="74">
        <f>SUM(F59:F66)</f>
        <v>1823.53</v>
      </c>
      <c r="G58" s="106"/>
      <c r="H58" s="106"/>
      <c r="I58" s="106"/>
      <c r="J58" s="106"/>
      <c r="K58" s="74">
        <f>SUM(K59:K66)</f>
        <v>1508.806</v>
      </c>
      <c r="L58" s="74">
        <f t="shared" ref="L58:M58" si="49">SUM(L59:L66)</f>
        <v>1508.806</v>
      </c>
      <c r="M58" s="74">
        <f t="shared" si="49"/>
        <v>0</v>
      </c>
      <c r="N58" s="96"/>
      <c r="O58" s="74">
        <f t="shared" ref="O58:O68" si="50">SUM(P58:Q58)</f>
        <v>1442.45</v>
      </c>
      <c r="P58" s="96"/>
      <c r="Q58" s="74">
        <f>SUM(Q59:Q66)</f>
        <v>1442.45</v>
      </c>
      <c r="R58" s="134"/>
      <c r="S58" s="89"/>
      <c r="T58" s="104"/>
    </row>
    <row r="59" spans="1:20" s="81" customFormat="1" ht="47.25">
      <c r="A59" s="92"/>
      <c r="B59" s="129" t="s">
        <v>148</v>
      </c>
      <c r="C59" s="74">
        <f t="shared" ref="C59:C68" si="51">D59+F59</f>
        <v>381.08</v>
      </c>
      <c r="D59" s="106"/>
      <c r="E59" s="106"/>
      <c r="F59" s="77">
        <v>381.08</v>
      </c>
      <c r="G59" s="106"/>
      <c r="H59" s="106"/>
      <c r="I59" s="106"/>
      <c r="J59" s="106"/>
      <c r="K59" s="74">
        <f t="shared" ref="K59:K66" si="52">SUM(L59:M59)</f>
        <v>381.08</v>
      </c>
      <c r="L59" s="134">
        <f>'BIEU CHI TIET'!F57</f>
        <v>381.08</v>
      </c>
      <c r="M59" s="134">
        <f>'BIEU CHI TIET'!G57</f>
        <v>0</v>
      </c>
      <c r="N59" s="96"/>
      <c r="O59" s="74">
        <f t="shared" si="50"/>
        <v>0</v>
      </c>
      <c r="P59" s="96"/>
      <c r="Q59" s="134"/>
      <c r="R59" s="134"/>
      <c r="S59" s="89"/>
      <c r="T59" s="104"/>
    </row>
    <row r="60" spans="1:20" s="81" customFormat="1" ht="31.5">
      <c r="A60" s="92"/>
      <c r="B60" s="129" t="s">
        <v>149</v>
      </c>
      <c r="C60" s="74">
        <f t="shared" si="51"/>
        <v>803.01700000000005</v>
      </c>
      <c r="D60" s="106"/>
      <c r="E60" s="106"/>
      <c r="F60" s="77">
        <v>803.01700000000005</v>
      </c>
      <c r="G60" s="106"/>
      <c r="H60" s="106"/>
      <c r="I60" s="106"/>
      <c r="J60" s="106"/>
      <c r="K60" s="74">
        <f t="shared" si="52"/>
        <v>803.01700000000005</v>
      </c>
      <c r="L60" s="134">
        <f>'BIEU CHI TIET'!F58</f>
        <v>803.01700000000005</v>
      </c>
      <c r="M60" s="134">
        <f>'BIEU CHI TIET'!G58</f>
        <v>0</v>
      </c>
      <c r="N60" s="96"/>
      <c r="O60" s="74">
        <f t="shared" si="50"/>
        <v>803.01700000000005</v>
      </c>
      <c r="P60" s="96"/>
      <c r="Q60" s="77">
        <v>803.01700000000005</v>
      </c>
      <c r="R60" s="134"/>
      <c r="S60" s="89"/>
      <c r="T60" s="104"/>
    </row>
    <row r="61" spans="1:20" s="81" customFormat="1" ht="63">
      <c r="A61" s="92"/>
      <c r="B61" s="129" t="s">
        <v>150</v>
      </c>
      <c r="C61" s="74">
        <f t="shared" si="51"/>
        <v>26.914000000000001</v>
      </c>
      <c r="D61" s="106"/>
      <c r="E61" s="106"/>
      <c r="F61" s="77">
        <v>26.914000000000001</v>
      </c>
      <c r="G61" s="106"/>
      <c r="H61" s="106"/>
      <c r="I61" s="106"/>
      <c r="J61" s="106"/>
      <c r="K61" s="74">
        <f t="shared" si="52"/>
        <v>0</v>
      </c>
      <c r="L61" s="134">
        <f>'BIEU CHI TIET'!F59</f>
        <v>0</v>
      </c>
      <c r="M61" s="134">
        <f>'BIEU CHI TIET'!G59</f>
        <v>0</v>
      </c>
      <c r="N61" s="96"/>
      <c r="O61" s="74">
        <f t="shared" si="50"/>
        <v>26.914000000000001</v>
      </c>
      <c r="P61" s="96"/>
      <c r="Q61" s="77">
        <v>26.914000000000001</v>
      </c>
      <c r="R61" s="134"/>
      <c r="S61" s="89"/>
      <c r="T61" s="104"/>
    </row>
    <row r="62" spans="1:20" s="81" customFormat="1" ht="47.25">
      <c r="A62" s="92"/>
      <c r="B62" s="129" t="s">
        <v>151</v>
      </c>
      <c r="C62" s="74">
        <f t="shared" si="51"/>
        <v>65.483000000000004</v>
      </c>
      <c r="D62" s="106"/>
      <c r="E62" s="106"/>
      <c r="F62" s="77">
        <v>65.483000000000004</v>
      </c>
      <c r="G62" s="106"/>
      <c r="H62" s="106"/>
      <c r="I62" s="106"/>
      <c r="J62" s="106"/>
      <c r="K62" s="74">
        <f t="shared" si="52"/>
        <v>0</v>
      </c>
      <c r="L62" s="134">
        <f>'BIEU CHI TIET'!F60</f>
        <v>0</v>
      </c>
      <c r="M62" s="134">
        <f>'BIEU CHI TIET'!G60</f>
        <v>0</v>
      </c>
      <c r="N62" s="96"/>
      <c r="O62" s="74">
        <f t="shared" si="50"/>
        <v>65.483000000000004</v>
      </c>
      <c r="P62" s="96"/>
      <c r="Q62" s="77">
        <v>65.483000000000004</v>
      </c>
      <c r="R62" s="134"/>
      <c r="S62" s="89"/>
      <c r="T62" s="104"/>
    </row>
    <row r="63" spans="1:20" s="81" customFormat="1" ht="31.5">
      <c r="A63" s="92"/>
      <c r="B63" s="129" t="s">
        <v>152</v>
      </c>
      <c r="C63" s="74">
        <f t="shared" si="51"/>
        <v>157.97</v>
      </c>
      <c r="D63" s="106"/>
      <c r="E63" s="106"/>
      <c r="F63" s="77">
        <v>157.97</v>
      </c>
      <c r="G63" s="106"/>
      <c r="H63" s="106"/>
      <c r="I63" s="106"/>
      <c r="J63" s="106"/>
      <c r="K63" s="74">
        <f t="shared" si="52"/>
        <v>0</v>
      </c>
      <c r="L63" s="134">
        <f>'BIEU CHI TIET'!F61</f>
        <v>0</v>
      </c>
      <c r="M63" s="134">
        <f>'BIEU CHI TIET'!G61</f>
        <v>0</v>
      </c>
      <c r="N63" s="96"/>
      <c r="O63" s="74">
        <f t="shared" si="50"/>
        <v>157.97</v>
      </c>
      <c r="P63" s="96"/>
      <c r="Q63" s="77">
        <v>157.97</v>
      </c>
      <c r="R63" s="134"/>
      <c r="S63" s="89"/>
      <c r="T63" s="104"/>
    </row>
    <row r="64" spans="1:20" s="81" customFormat="1" ht="47.25">
      <c r="A64" s="92"/>
      <c r="B64" s="129" t="s">
        <v>153</v>
      </c>
      <c r="C64" s="74">
        <f t="shared" si="51"/>
        <v>135.24700000000001</v>
      </c>
      <c r="D64" s="106"/>
      <c r="E64" s="106"/>
      <c r="F64" s="77">
        <v>135.24700000000001</v>
      </c>
      <c r="G64" s="106"/>
      <c r="H64" s="106"/>
      <c r="I64" s="106"/>
      <c r="J64" s="106"/>
      <c r="K64" s="74">
        <f t="shared" si="52"/>
        <v>135.24700000000001</v>
      </c>
      <c r="L64" s="134">
        <f>'BIEU CHI TIET'!F62</f>
        <v>135.24700000000001</v>
      </c>
      <c r="M64" s="134">
        <f>'BIEU CHI TIET'!G62</f>
        <v>0</v>
      </c>
      <c r="N64" s="96"/>
      <c r="O64" s="74">
        <f t="shared" si="50"/>
        <v>135.24700000000001</v>
      </c>
      <c r="P64" s="96"/>
      <c r="Q64" s="77">
        <v>135.24700000000001</v>
      </c>
      <c r="R64" s="134"/>
      <c r="S64" s="89"/>
      <c r="T64" s="104"/>
    </row>
    <row r="65" spans="1:20" s="81" customFormat="1" ht="31.5">
      <c r="A65" s="92"/>
      <c r="B65" s="129" t="s">
        <v>154</v>
      </c>
      <c r="C65" s="74">
        <f t="shared" si="51"/>
        <v>189.46199999999999</v>
      </c>
      <c r="D65" s="106"/>
      <c r="E65" s="106"/>
      <c r="F65" s="77">
        <v>189.46199999999999</v>
      </c>
      <c r="G65" s="106"/>
      <c r="H65" s="106"/>
      <c r="I65" s="106"/>
      <c r="J65" s="106"/>
      <c r="K65" s="74">
        <f t="shared" si="52"/>
        <v>189.46199999999999</v>
      </c>
      <c r="L65" s="134">
        <f>'BIEU CHI TIET'!F63</f>
        <v>189.46199999999999</v>
      </c>
      <c r="M65" s="134">
        <f>'BIEU CHI TIET'!G63</f>
        <v>0</v>
      </c>
      <c r="N65" s="96"/>
      <c r="O65" s="74">
        <f t="shared" si="50"/>
        <v>189.46199999999999</v>
      </c>
      <c r="P65" s="96"/>
      <c r="Q65" s="77">
        <v>189.46199999999999</v>
      </c>
      <c r="R65" s="134"/>
      <c r="S65" s="89"/>
      <c r="T65" s="104"/>
    </row>
    <row r="66" spans="1:20" s="81" customFormat="1">
      <c r="A66" s="92"/>
      <c r="B66" s="129" t="s">
        <v>155</v>
      </c>
      <c r="C66" s="74">
        <f t="shared" si="51"/>
        <v>64.356999999999999</v>
      </c>
      <c r="D66" s="106"/>
      <c r="E66" s="106"/>
      <c r="F66" s="77">
        <v>64.356999999999999</v>
      </c>
      <c r="G66" s="106"/>
      <c r="H66" s="106"/>
      <c r="I66" s="106"/>
      <c r="J66" s="106"/>
      <c r="K66" s="74">
        <f t="shared" si="52"/>
        <v>0</v>
      </c>
      <c r="L66" s="134">
        <f>'BIEU CHI TIET'!F64</f>
        <v>0</v>
      </c>
      <c r="M66" s="134">
        <f>'BIEU CHI TIET'!G64</f>
        <v>0</v>
      </c>
      <c r="N66" s="96"/>
      <c r="O66" s="74">
        <f t="shared" si="50"/>
        <v>64.356999999999999</v>
      </c>
      <c r="P66" s="96"/>
      <c r="Q66" s="77">
        <v>64.356999999999999</v>
      </c>
      <c r="R66" s="134"/>
      <c r="S66" s="89"/>
      <c r="T66" s="104"/>
    </row>
    <row r="67" spans="1:20" s="81" customFormat="1" ht="31.5">
      <c r="A67" s="92">
        <v>2</v>
      </c>
      <c r="B67" s="128" t="s">
        <v>18</v>
      </c>
      <c r="C67" s="74">
        <f>C68</f>
        <v>700</v>
      </c>
      <c r="D67" s="106"/>
      <c r="E67" s="106"/>
      <c r="F67" s="106">
        <f>F68</f>
        <v>700</v>
      </c>
      <c r="G67" s="106"/>
      <c r="H67" s="106"/>
      <c r="I67" s="106"/>
      <c r="J67" s="106"/>
      <c r="K67" s="106">
        <f t="shared" ref="K67:M67" si="53">K68</f>
        <v>0</v>
      </c>
      <c r="L67" s="106">
        <f t="shared" si="53"/>
        <v>0</v>
      </c>
      <c r="M67" s="106">
        <f t="shared" si="53"/>
        <v>0</v>
      </c>
      <c r="N67" s="102"/>
      <c r="O67" s="74">
        <f t="shared" si="50"/>
        <v>0</v>
      </c>
      <c r="P67" s="102"/>
      <c r="Q67" s="74"/>
      <c r="R67" s="74"/>
      <c r="S67" s="103"/>
      <c r="T67" s="104"/>
    </row>
    <row r="68" spans="1:20" s="81" customFormat="1" ht="31.5">
      <c r="A68" s="92"/>
      <c r="B68" s="135" t="s">
        <v>156</v>
      </c>
      <c r="C68" s="74">
        <f t="shared" si="51"/>
        <v>700</v>
      </c>
      <c r="D68" s="106"/>
      <c r="E68" s="106"/>
      <c r="F68" s="106">
        <v>700</v>
      </c>
      <c r="G68" s="106"/>
      <c r="H68" s="106"/>
      <c r="I68" s="106"/>
      <c r="J68" s="106"/>
      <c r="K68" s="74">
        <f>SUM(L68:M68)</f>
        <v>0</v>
      </c>
      <c r="L68" s="74">
        <f>'BIEU CHI TIET'!F66</f>
        <v>0</v>
      </c>
      <c r="M68" s="74">
        <f>'BIEU CHI TIET'!G66</f>
        <v>0</v>
      </c>
      <c r="N68" s="102"/>
      <c r="O68" s="74">
        <f t="shared" si="50"/>
        <v>0</v>
      </c>
      <c r="P68" s="102"/>
      <c r="Q68" s="74"/>
      <c r="R68" s="74"/>
      <c r="S68" s="103"/>
      <c r="T68" s="104"/>
    </row>
    <row r="69" spans="1:20">
      <c r="A69" s="90"/>
      <c r="B69" s="126" t="s">
        <v>19</v>
      </c>
      <c r="C69" s="127">
        <f t="shared" ref="C69:Q69" si="54">SUM(C70)</f>
        <v>14200</v>
      </c>
      <c r="D69" s="127"/>
      <c r="E69" s="127"/>
      <c r="F69" s="127">
        <f t="shared" si="54"/>
        <v>14200</v>
      </c>
      <c r="G69" s="127"/>
      <c r="H69" s="127"/>
      <c r="I69" s="127"/>
      <c r="J69" s="127"/>
      <c r="K69" s="127">
        <f t="shared" si="54"/>
        <v>12291</v>
      </c>
      <c r="L69" s="127">
        <f t="shared" si="54"/>
        <v>12291</v>
      </c>
      <c r="M69" s="127">
        <f t="shared" si="54"/>
        <v>0</v>
      </c>
      <c r="N69" s="102"/>
      <c r="O69" s="127">
        <f t="shared" si="54"/>
        <v>12291</v>
      </c>
      <c r="P69" s="102"/>
      <c r="Q69" s="127">
        <f t="shared" si="54"/>
        <v>12291</v>
      </c>
      <c r="R69" s="127"/>
      <c r="S69" s="103"/>
    </row>
    <row r="70" spans="1:20" s="104" customFormat="1">
      <c r="A70" s="92">
        <v>1</v>
      </c>
      <c r="B70" s="128" t="s">
        <v>20</v>
      </c>
      <c r="C70" s="106">
        <v>14200</v>
      </c>
      <c r="D70" s="106"/>
      <c r="E70" s="106"/>
      <c r="F70" s="106">
        <v>14200</v>
      </c>
      <c r="G70" s="106"/>
      <c r="H70" s="106"/>
      <c r="I70" s="106"/>
      <c r="J70" s="106"/>
      <c r="K70" s="74">
        <f>SUM(L70:M70)</f>
        <v>12291</v>
      </c>
      <c r="L70" s="79">
        <f>'BIEU CHI TIET'!F68</f>
        <v>12291</v>
      </c>
      <c r="M70" s="79">
        <f>'BIEU CHI TIET'!G68</f>
        <v>0</v>
      </c>
      <c r="N70" s="102"/>
      <c r="O70" s="74">
        <f t="shared" ref="O70" si="55">SUM(P70:Q70)</f>
        <v>12291</v>
      </c>
      <c r="P70" s="102"/>
      <c r="Q70" s="79">
        <v>12291</v>
      </c>
      <c r="R70" s="79"/>
      <c r="S70" s="130"/>
    </row>
    <row r="71" spans="1:20">
      <c r="A71" s="90" t="s">
        <v>99</v>
      </c>
      <c r="B71" s="126" t="s">
        <v>9</v>
      </c>
      <c r="C71" s="127">
        <f>C72+C79</f>
        <v>217800</v>
      </c>
      <c r="D71" s="127"/>
      <c r="E71" s="127"/>
      <c r="F71" s="127">
        <f>F72+F79</f>
        <v>227800</v>
      </c>
      <c r="G71" s="127"/>
      <c r="H71" s="127"/>
      <c r="I71" s="127"/>
      <c r="J71" s="127"/>
      <c r="K71" s="127">
        <f>K72+K79</f>
        <v>125336.64</v>
      </c>
      <c r="L71" s="127">
        <f>L72+L79</f>
        <v>43017.448850000001</v>
      </c>
      <c r="M71" s="127">
        <f>M72+M79</f>
        <v>82319.191149999999</v>
      </c>
      <c r="N71" s="102"/>
      <c r="O71" s="127">
        <f>O72+O79</f>
        <v>104416.181</v>
      </c>
      <c r="P71" s="102"/>
      <c r="Q71" s="127">
        <f>Q72+Q79</f>
        <v>179629.84600000002</v>
      </c>
      <c r="R71" s="127"/>
      <c r="S71" s="130"/>
    </row>
    <row r="72" spans="1:20">
      <c r="A72" s="90"/>
      <c r="B72" s="126" t="s">
        <v>11</v>
      </c>
      <c r="C72" s="127">
        <f>SUM(C73:C78)</f>
        <v>204000</v>
      </c>
      <c r="D72" s="127"/>
      <c r="E72" s="127"/>
      <c r="F72" s="127">
        <f>SUM(F73:F78)</f>
        <v>204000</v>
      </c>
      <c r="G72" s="127"/>
      <c r="H72" s="127"/>
      <c r="I72" s="127"/>
      <c r="J72" s="127"/>
      <c r="K72" s="127">
        <f>SUM(K73:K78)</f>
        <v>111907.54300000001</v>
      </c>
      <c r="L72" s="127">
        <f>SUM(L73:L78)</f>
        <v>30898.33785</v>
      </c>
      <c r="M72" s="127">
        <f>SUM(M73:M78)</f>
        <v>81009.205149999994</v>
      </c>
      <c r="N72" s="96"/>
      <c r="O72" s="127">
        <f>SUM(O73:O78)</f>
        <v>94000</v>
      </c>
      <c r="P72" s="96"/>
      <c r="Q72" s="127">
        <f>SUM(Q73:Q78)</f>
        <v>169213.66500000001</v>
      </c>
      <c r="R72" s="127"/>
      <c r="S72" s="136"/>
    </row>
    <row r="73" spans="1:20">
      <c r="A73" s="92">
        <v>1</v>
      </c>
      <c r="B73" s="128" t="s">
        <v>22</v>
      </c>
      <c r="C73" s="74">
        <f t="shared" ref="C73:C78" si="56">D73+F73</f>
        <v>1000</v>
      </c>
      <c r="D73" s="106"/>
      <c r="E73" s="106"/>
      <c r="F73" s="106">
        <v>1000</v>
      </c>
      <c r="G73" s="106"/>
      <c r="H73" s="106"/>
      <c r="I73" s="106"/>
      <c r="J73" s="106"/>
      <c r="K73" s="74">
        <f>SUM(L73:M73)</f>
        <v>0</v>
      </c>
      <c r="L73" s="78">
        <f>'BIEU CHI TIET'!F71</f>
        <v>0</v>
      </c>
      <c r="M73" s="78">
        <f>'BIEU CHI TIET'!G71</f>
        <v>0</v>
      </c>
      <c r="N73" s="96"/>
      <c r="O73" s="74">
        <f t="shared" ref="O73:O82" si="57">SUM(P73:Q73)</f>
        <v>0</v>
      </c>
      <c r="P73" s="96"/>
      <c r="Q73" s="79"/>
      <c r="R73" s="79"/>
      <c r="S73" s="137"/>
    </row>
    <row r="74" spans="1:20" s="81" customFormat="1">
      <c r="A74" s="92">
        <v>2</v>
      </c>
      <c r="B74" s="128" t="s">
        <v>40</v>
      </c>
      <c r="C74" s="74">
        <f t="shared" si="56"/>
        <v>1000</v>
      </c>
      <c r="D74" s="106"/>
      <c r="E74" s="106"/>
      <c r="F74" s="106">
        <v>1000</v>
      </c>
      <c r="G74" s="106"/>
      <c r="H74" s="106"/>
      <c r="I74" s="106"/>
      <c r="J74" s="106"/>
      <c r="K74" s="74">
        <f>SUM(L74:M74)</f>
        <v>0</v>
      </c>
      <c r="L74" s="78">
        <f>'BIEU CHI TIET'!F72</f>
        <v>0</v>
      </c>
      <c r="M74" s="78">
        <f>'BIEU CHI TIET'!G72</f>
        <v>0</v>
      </c>
      <c r="N74" s="133"/>
      <c r="O74" s="74">
        <f t="shared" si="57"/>
        <v>0</v>
      </c>
      <c r="P74" s="133"/>
      <c r="Q74" s="79"/>
      <c r="R74" s="79"/>
      <c r="S74" s="103"/>
      <c r="T74" s="104"/>
    </row>
    <row r="75" spans="1:20" s="81" customFormat="1">
      <c r="A75" s="92">
        <v>3</v>
      </c>
      <c r="B75" s="128" t="s">
        <v>20</v>
      </c>
      <c r="C75" s="74">
        <f t="shared" si="56"/>
        <v>77000</v>
      </c>
      <c r="D75" s="106"/>
      <c r="E75" s="106"/>
      <c r="F75" s="106">
        <v>77000</v>
      </c>
      <c r="G75" s="106"/>
      <c r="H75" s="106"/>
      <c r="I75" s="106"/>
      <c r="J75" s="106"/>
      <c r="K75" s="74">
        <f t="shared" ref="K75:K76" si="58">SUM(L75:M75)</f>
        <v>87.213999999999999</v>
      </c>
      <c r="L75" s="78">
        <f>'BIEU CHI TIET'!F73</f>
        <v>0</v>
      </c>
      <c r="M75" s="78">
        <f>'BIEU CHI TIET'!G73</f>
        <v>87.213999999999999</v>
      </c>
      <c r="N75" s="133"/>
      <c r="O75" s="74"/>
      <c r="P75" s="133"/>
      <c r="Q75" s="78">
        <v>50000</v>
      </c>
      <c r="R75" s="79"/>
      <c r="S75" s="103"/>
      <c r="T75" s="104"/>
    </row>
    <row r="76" spans="1:20" s="81" customFormat="1" ht="47.25">
      <c r="A76" s="92">
        <v>4</v>
      </c>
      <c r="B76" s="128" t="s">
        <v>157</v>
      </c>
      <c r="C76" s="74">
        <f t="shared" si="56"/>
        <v>31000</v>
      </c>
      <c r="D76" s="106"/>
      <c r="E76" s="106"/>
      <c r="F76" s="106">
        <v>31000</v>
      </c>
      <c r="G76" s="106"/>
      <c r="H76" s="106"/>
      <c r="I76" s="106"/>
      <c r="J76" s="106"/>
      <c r="K76" s="74">
        <f t="shared" si="58"/>
        <v>22713.665000000001</v>
      </c>
      <c r="L76" s="78">
        <f>'BIEU CHI TIET'!F74</f>
        <v>0</v>
      </c>
      <c r="M76" s="78">
        <f>'BIEU CHI TIET'!G74</f>
        <v>22713.665000000001</v>
      </c>
      <c r="N76" s="133"/>
      <c r="O76" s="74"/>
      <c r="P76" s="133"/>
      <c r="Q76" s="79">
        <f>3213.665+22000</f>
        <v>25213.665000000001</v>
      </c>
      <c r="R76" s="79"/>
      <c r="S76" s="103"/>
      <c r="T76" s="104"/>
    </row>
    <row r="77" spans="1:20" s="81" customFormat="1" ht="31.5">
      <c r="A77" s="92">
        <v>5</v>
      </c>
      <c r="B77" s="105" t="s">
        <v>73</v>
      </c>
      <c r="C77" s="74">
        <f t="shared" si="56"/>
        <v>40000</v>
      </c>
      <c r="D77" s="106"/>
      <c r="E77" s="106"/>
      <c r="F77" s="106">
        <v>40000</v>
      </c>
      <c r="G77" s="106"/>
      <c r="H77" s="106"/>
      <c r="I77" s="106"/>
      <c r="J77" s="106"/>
      <c r="K77" s="74">
        <f>SUM(L77:M77)</f>
        <v>35106.663999999997</v>
      </c>
      <c r="L77" s="78">
        <f>'BIEU CHI TIET'!F75</f>
        <v>13301.511302999999</v>
      </c>
      <c r="M77" s="78">
        <f>'BIEU CHI TIET'!G75</f>
        <v>21805.152696999998</v>
      </c>
      <c r="N77" s="138"/>
      <c r="O77" s="74">
        <f t="shared" si="57"/>
        <v>40000</v>
      </c>
      <c r="P77" s="138"/>
      <c r="Q77" s="79">
        <v>40000</v>
      </c>
      <c r="R77" s="79"/>
      <c r="S77" s="103" t="s">
        <v>87</v>
      </c>
      <c r="T77" s="104"/>
    </row>
    <row r="78" spans="1:20" s="81" customFormat="1" ht="63">
      <c r="A78" s="92">
        <v>6</v>
      </c>
      <c r="B78" s="128" t="s">
        <v>26</v>
      </c>
      <c r="C78" s="74">
        <f t="shared" si="56"/>
        <v>54000</v>
      </c>
      <c r="D78" s="106"/>
      <c r="E78" s="106"/>
      <c r="F78" s="106">
        <v>54000</v>
      </c>
      <c r="G78" s="106"/>
      <c r="H78" s="106"/>
      <c r="I78" s="106"/>
      <c r="J78" s="106"/>
      <c r="K78" s="74">
        <f>SUM(L78:M78)</f>
        <v>54000</v>
      </c>
      <c r="L78" s="78">
        <f>'BIEU CHI TIET'!F76</f>
        <v>17596.826547000001</v>
      </c>
      <c r="M78" s="78">
        <f>'BIEU CHI TIET'!G76</f>
        <v>36403.173452999996</v>
      </c>
      <c r="N78" s="102"/>
      <c r="O78" s="74">
        <f t="shared" si="57"/>
        <v>54000</v>
      </c>
      <c r="P78" s="102"/>
      <c r="Q78" s="74">
        <v>54000</v>
      </c>
      <c r="R78" s="79"/>
      <c r="S78" s="103" t="s">
        <v>87</v>
      </c>
      <c r="T78" s="104"/>
    </row>
    <row r="79" spans="1:20">
      <c r="A79" s="90"/>
      <c r="B79" s="126" t="s">
        <v>23</v>
      </c>
      <c r="C79" s="127">
        <f t="shared" ref="C79:Q79" si="59">SUM(C80:C82)</f>
        <v>13800</v>
      </c>
      <c r="D79" s="127"/>
      <c r="E79" s="127"/>
      <c r="F79" s="127">
        <f t="shared" ref="F79" si="60">SUM(F80:F82)</f>
        <v>23800</v>
      </c>
      <c r="G79" s="127"/>
      <c r="H79" s="127"/>
      <c r="I79" s="127"/>
      <c r="J79" s="127"/>
      <c r="K79" s="127">
        <f t="shared" si="59"/>
        <v>13429.097</v>
      </c>
      <c r="L79" s="127">
        <f t="shared" si="59"/>
        <v>12119.110999999999</v>
      </c>
      <c r="M79" s="127">
        <f t="shared" si="59"/>
        <v>1309.9860000000001</v>
      </c>
      <c r="N79" s="102"/>
      <c r="O79" s="127">
        <f t="shared" si="59"/>
        <v>10416.181</v>
      </c>
      <c r="P79" s="102"/>
      <c r="Q79" s="127">
        <f t="shared" si="59"/>
        <v>10416.181</v>
      </c>
      <c r="R79" s="127"/>
      <c r="S79" s="103"/>
    </row>
    <row r="80" spans="1:20" ht="31.5" hidden="1">
      <c r="A80" s="92">
        <v>1</v>
      </c>
      <c r="B80" s="128" t="s">
        <v>74</v>
      </c>
      <c r="C80" s="74">
        <v>0</v>
      </c>
      <c r="D80" s="106"/>
      <c r="E80" s="106"/>
      <c r="F80" s="106">
        <v>10000</v>
      </c>
      <c r="G80" s="106"/>
      <c r="H80" s="106"/>
      <c r="I80" s="106"/>
      <c r="J80" s="106"/>
      <c r="K80" s="74">
        <f>SUM(L80:M80)</f>
        <v>0</v>
      </c>
      <c r="L80" s="74">
        <f>'BIEU CHI TIET'!F78</f>
        <v>0</v>
      </c>
      <c r="M80" s="74"/>
      <c r="N80" s="102"/>
      <c r="O80" s="74">
        <f t="shared" si="57"/>
        <v>0</v>
      </c>
      <c r="P80" s="102"/>
      <c r="Q80" s="79"/>
      <c r="R80" s="79"/>
      <c r="S80" s="103"/>
    </row>
    <row r="81" spans="1:24" ht="31.5">
      <c r="A81" s="92">
        <v>1</v>
      </c>
      <c r="B81" s="128" t="s">
        <v>24</v>
      </c>
      <c r="C81" s="74">
        <f t="shared" ref="C81:C82" si="61">D81+F81</f>
        <v>1000</v>
      </c>
      <c r="D81" s="106"/>
      <c r="E81" s="106"/>
      <c r="F81" s="106">
        <v>1000</v>
      </c>
      <c r="G81" s="106"/>
      <c r="H81" s="106"/>
      <c r="I81" s="106"/>
      <c r="J81" s="106"/>
      <c r="K81" s="74">
        <f>SUM(L81:M81)</f>
        <v>707.58600000000001</v>
      </c>
      <c r="L81" s="74">
        <f>'BIEU CHI TIET'!F79</f>
        <v>707.58600000000001</v>
      </c>
      <c r="M81" s="74">
        <f>'BIEU CHI TIET'!G79</f>
        <v>0</v>
      </c>
      <c r="N81" s="102"/>
      <c r="O81" s="74">
        <f t="shared" si="57"/>
        <v>416.18099999999998</v>
      </c>
      <c r="P81" s="102"/>
      <c r="Q81" s="74">
        <v>416.18099999999998</v>
      </c>
      <c r="R81" s="79"/>
      <c r="S81" s="103"/>
    </row>
    <row r="82" spans="1:24" s="81" customFormat="1" ht="31.5">
      <c r="A82" s="92">
        <v>2</v>
      </c>
      <c r="B82" s="128" t="s">
        <v>21</v>
      </c>
      <c r="C82" s="74">
        <f t="shared" si="61"/>
        <v>12800</v>
      </c>
      <c r="D82" s="106"/>
      <c r="E82" s="106"/>
      <c r="F82" s="106">
        <v>12800</v>
      </c>
      <c r="G82" s="106"/>
      <c r="H82" s="106"/>
      <c r="I82" s="106"/>
      <c r="J82" s="106"/>
      <c r="K82" s="74">
        <f>SUM(L82:M82)</f>
        <v>12721.511</v>
      </c>
      <c r="L82" s="78">
        <f>'BIEU CHI TIET'!F80</f>
        <v>11411.525</v>
      </c>
      <c r="M82" s="78">
        <f>'BIEU CHI TIET'!G80</f>
        <v>1309.9860000000001</v>
      </c>
      <c r="N82" s="102"/>
      <c r="O82" s="74">
        <f t="shared" si="57"/>
        <v>10000</v>
      </c>
      <c r="P82" s="96"/>
      <c r="Q82" s="78">
        <v>10000</v>
      </c>
      <c r="R82" s="79"/>
      <c r="S82" s="97"/>
      <c r="T82" s="104"/>
    </row>
    <row r="83" spans="1:24">
      <c r="A83" s="90" t="s">
        <v>100</v>
      </c>
      <c r="B83" s="126" t="s">
        <v>72</v>
      </c>
      <c r="C83" s="127">
        <f>C84+C88+C91</f>
        <v>34900</v>
      </c>
      <c r="D83" s="127"/>
      <c r="E83" s="127"/>
      <c r="F83" s="127">
        <f>F84+F88+F91</f>
        <v>34900</v>
      </c>
      <c r="G83" s="127"/>
      <c r="H83" s="127"/>
      <c r="I83" s="127"/>
      <c r="J83" s="127"/>
      <c r="K83" s="127">
        <f>K84+K88+K91</f>
        <v>25192.205600000001</v>
      </c>
      <c r="L83" s="127">
        <f>L84+L88+L91</f>
        <v>2485.6260000000002</v>
      </c>
      <c r="M83" s="127">
        <f>M84+M88+M91</f>
        <v>22706.579600000001</v>
      </c>
      <c r="N83" s="96"/>
      <c r="O83" s="127">
        <f>O84+O88+O91</f>
        <v>30284.968000000001</v>
      </c>
      <c r="P83" s="96"/>
      <c r="Q83" s="127">
        <f>Q84+Q88+Q91</f>
        <v>30284.968000000001</v>
      </c>
      <c r="R83" s="127"/>
      <c r="S83" s="97"/>
    </row>
    <row r="84" spans="1:24">
      <c r="A84" s="90"/>
      <c r="B84" s="126" t="s">
        <v>11</v>
      </c>
      <c r="C84" s="127">
        <f>SUM(C85:C87)</f>
        <v>13400</v>
      </c>
      <c r="D84" s="127"/>
      <c r="E84" s="127"/>
      <c r="F84" s="127">
        <f>SUM(F85:F87)</f>
        <v>13400</v>
      </c>
      <c r="G84" s="127"/>
      <c r="H84" s="127"/>
      <c r="I84" s="127"/>
      <c r="J84" s="127"/>
      <c r="K84" s="127">
        <f>SUM(K85:K87)</f>
        <v>7106.2766000000001</v>
      </c>
      <c r="L84" s="127">
        <f>SUM(L85:L87)</f>
        <v>864.69700000000012</v>
      </c>
      <c r="M84" s="127">
        <f>SUM(M85:M87)</f>
        <v>6241.5796</v>
      </c>
      <c r="N84" s="96"/>
      <c r="O84" s="127">
        <f>SUM(O85:O87)</f>
        <v>11284.968000000001</v>
      </c>
      <c r="P84" s="96"/>
      <c r="Q84" s="127">
        <f>SUM(Q85:Q87)</f>
        <v>11284.968000000001</v>
      </c>
      <c r="R84" s="127"/>
      <c r="S84" s="97"/>
    </row>
    <row r="85" spans="1:24" ht="31.5">
      <c r="A85" s="92">
        <v>1</v>
      </c>
      <c r="B85" s="128" t="s">
        <v>68</v>
      </c>
      <c r="C85" s="74">
        <f t="shared" ref="C85:C87" si="62">D85+F85</f>
        <v>1000</v>
      </c>
      <c r="D85" s="106"/>
      <c r="E85" s="106"/>
      <c r="F85" s="106">
        <v>1000</v>
      </c>
      <c r="G85" s="106"/>
      <c r="H85" s="106"/>
      <c r="I85" s="106"/>
      <c r="J85" s="106"/>
      <c r="K85" s="74">
        <f t="shared" ref="K85:K92" si="63">SUM(L85:M85)</f>
        <v>0</v>
      </c>
      <c r="L85" s="78">
        <f>'BIEU CHI TIET'!F83</f>
        <v>0</v>
      </c>
      <c r="M85" s="78">
        <f>'BIEU CHI TIET'!G83</f>
        <v>0</v>
      </c>
      <c r="N85" s="133"/>
      <c r="O85" s="74">
        <f t="shared" ref="O85:O87" si="64">SUM(P85:Q85)</f>
        <v>0</v>
      </c>
      <c r="P85" s="133"/>
      <c r="Q85" s="78"/>
      <c r="R85" s="78"/>
      <c r="S85" s="97"/>
    </row>
    <row r="86" spans="1:24">
      <c r="A86" s="92">
        <v>2</v>
      </c>
      <c r="B86" s="128" t="s">
        <v>75</v>
      </c>
      <c r="C86" s="74">
        <f t="shared" si="62"/>
        <v>11000</v>
      </c>
      <c r="D86" s="106"/>
      <c r="E86" s="106"/>
      <c r="F86" s="106">
        <v>11000</v>
      </c>
      <c r="G86" s="106"/>
      <c r="H86" s="106"/>
      <c r="I86" s="106"/>
      <c r="J86" s="106"/>
      <c r="K86" s="74">
        <f t="shared" si="63"/>
        <v>6821.3086000000003</v>
      </c>
      <c r="L86" s="78">
        <f>'BIEU CHI TIET'!F84</f>
        <v>579.72900000000004</v>
      </c>
      <c r="M86" s="78">
        <f>'BIEU CHI TIET'!G84</f>
        <v>6241.5796</v>
      </c>
      <c r="N86" s="133"/>
      <c r="O86" s="74">
        <f t="shared" si="64"/>
        <v>11000</v>
      </c>
      <c r="P86" s="133"/>
      <c r="Q86" s="78">
        <v>11000</v>
      </c>
      <c r="R86" s="78"/>
      <c r="S86" s="97"/>
    </row>
    <row r="87" spans="1:24" ht="31.5">
      <c r="A87" s="92">
        <v>3</v>
      </c>
      <c r="B87" s="128" t="s">
        <v>76</v>
      </c>
      <c r="C87" s="74">
        <f t="shared" si="62"/>
        <v>1400</v>
      </c>
      <c r="D87" s="106"/>
      <c r="E87" s="106"/>
      <c r="F87" s="106">
        <v>1400</v>
      </c>
      <c r="G87" s="106"/>
      <c r="H87" s="106"/>
      <c r="I87" s="106"/>
      <c r="J87" s="106"/>
      <c r="K87" s="74">
        <f t="shared" si="63"/>
        <v>284.96800000000002</v>
      </c>
      <c r="L87" s="78">
        <f>'BIEU CHI TIET'!F85</f>
        <v>284.96800000000002</v>
      </c>
      <c r="M87" s="78">
        <f>'BIEU CHI TIET'!G85</f>
        <v>0</v>
      </c>
      <c r="N87" s="133"/>
      <c r="O87" s="74">
        <f t="shared" si="64"/>
        <v>284.96800000000002</v>
      </c>
      <c r="P87" s="133"/>
      <c r="Q87" s="78">
        <v>284.96800000000002</v>
      </c>
      <c r="R87" s="106"/>
      <c r="S87" s="97"/>
    </row>
    <row r="88" spans="1:24">
      <c r="A88" s="90"/>
      <c r="B88" s="126" t="s">
        <v>23</v>
      </c>
      <c r="C88" s="127">
        <f t="shared" ref="C88:Q88" si="65">SUM(C89:C90)</f>
        <v>20000</v>
      </c>
      <c r="D88" s="127"/>
      <c r="E88" s="127"/>
      <c r="F88" s="127">
        <f t="shared" ref="F88" si="66">SUM(F89:F90)</f>
        <v>20000</v>
      </c>
      <c r="G88" s="127"/>
      <c r="H88" s="127"/>
      <c r="I88" s="127"/>
      <c r="J88" s="127"/>
      <c r="K88" s="127">
        <f t="shared" si="65"/>
        <v>18085.929</v>
      </c>
      <c r="L88" s="127">
        <f t="shared" si="65"/>
        <v>1620.9290000000001</v>
      </c>
      <c r="M88" s="127">
        <f t="shared" si="65"/>
        <v>16465</v>
      </c>
      <c r="N88" s="133"/>
      <c r="O88" s="127">
        <f t="shared" si="65"/>
        <v>19000</v>
      </c>
      <c r="P88" s="133"/>
      <c r="Q88" s="127">
        <f t="shared" si="65"/>
        <v>19000</v>
      </c>
      <c r="R88" s="127"/>
      <c r="S88" s="97"/>
    </row>
    <row r="89" spans="1:24" ht="31.5">
      <c r="A89" s="92">
        <v>1</v>
      </c>
      <c r="B89" s="128" t="s">
        <v>27</v>
      </c>
      <c r="C89" s="74">
        <f t="shared" ref="C89" si="67">D89+F89</f>
        <v>20000</v>
      </c>
      <c r="D89" s="106"/>
      <c r="E89" s="106"/>
      <c r="F89" s="106">
        <v>20000</v>
      </c>
      <c r="G89" s="106"/>
      <c r="H89" s="106"/>
      <c r="I89" s="106"/>
      <c r="J89" s="106"/>
      <c r="K89" s="74">
        <f t="shared" si="63"/>
        <v>18085.929</v>
      </c>
      <c r="L89" s="106">
        <f>'BIEU CHI TIET'!F87</f>
        <v>1620.9290000000001</v>
      </c>
      <c r="M89" s="106">
        <f>'BIEU CHI TIET'!G87</f>
        <v>16465</v>
      </c>
      <c r="N89" s="133"/>
      <c r="O89" s="74">
        <f t="shared" ref="O89:O90" si="68">SUM(P89:Q89)</f>
        <v>19000</v>
      </c>
      <c r="P89" s="133"/>
      <c r="Q89" s="78">
        <v>19000</v>
      </c>
      <c r="R89" s="106"/>
      <c r="S89" s="97"/>
    </row>
    <row r="90" spans="1:24" ht="47.25" hidden="1">
      <c r="A90" s="92">
        <v>2</v>
      </c>
      <c r="B90" s="128" t="s">
        <v>77</v>
      </c>
      <c r="C90" s="74">
        <v>0</v>
      </c>
      <c r="D90" s="106"/>
      <c r="E90" s="106"/>
      <c r="F90" s="106">
        <v>0</v>
      </c>
      <c r="G90" s="106"/>
      <c r="H90" s="106"/>
      <c r="I90" s="106"/>
      <c r="J90" s="106"/>
      <c r="K90" s="74">
        <f t="shared" si="63"/>
        <v>0</v>
      </c>
      <c r="L90" s="106">
        <f>'BIEU CHI TIET'!F88</f>
        <v>0</v>
      </c>
      <c r="M90" s="106">
        <f>'BIEU CHI TIET'!G88</f>
        <v>0</v>
      </c>
      <c r="N90" s="133"/>
      <c r="O90" s="74">
        <f t="shared" si="68"/>
        <v>0</v>
      </c>
      <c r="P90" s="133"/>
      <c r="Q90" s="106"/>
      <c r="R90" s="106"/>
      <c r="S90" s="97"/>
    </row>
    <row r="91" spans="1:24">
      <c r="A91" s="90"/>
      <c r="B91" s="126" t="s">
        <v>10</v>
      </c>
      <c r="C91" s="127">
        <f t="shared" ref="C91:Q91" si="69">SUM(C92)</f>
        <v>1500</v>
      </c>
      <c r="D91" s="127"/>
      <c r="E91" s="127"/>
      <c r="F91" s="127">
        <f t="shared" si="69"/>
        <v>1500</v>
      </c>
      <c r="G91" s="127"/>
      <c r="H91" s="127"/>
      <c r="I91" s="127"/>
      <c r="J91" s="127"/>
      <c r="K91" s="127">
        <f t="shared" si="69"/>
        <v>0</v>
      </c>
      <c r="L91" s="127">
        <f t="shared" si="69"/>
        <v>0</v>
      </c>
      <c r="M91" s="127">
        <f t="shared" si="69"/>
        <v>0</v>
      </c>
      <c r="N91" s="133"/>
      <c r="O91" s="127">
        <f t="shared" si="69"/>
        <v>0</v>
      </c>
      <c r="P91" s="133"/>
      <c r="Q91" s="127">
        <f t="shared" si="69"/>
        <v>0</v>
      </c>
      <c r="R91" s="127"/>
      <c r="S91" s="97"/>
    </row>
    <row r="92" spans="1:24" s="104" customFormat="1" ht="31.5">
      <c r="A92" s="92">
        <v>1</v>
      </c>
      <c r="B92" s="128" t="s">
        <v>78</v>
      </c>
      <c r="C92" s="74">
        <f>D92+F92</f>
        <v>1500</v>
      </c>
      <c r="D92" s="106"/>
      <c r="E92" s="106"/>
      <c r="F92" s="106">
        <v>1500</v>
      </c>
      <c r="G92" s="106"/>
      <c r="H92" s="106"/>
      <c r="I92" s="106"/>
      <c r="J92" s="106"/>
      <c r="K92" s="74">
        <f t="shared" si="63"/>
        <v>0</v>
      </c>
      <c r="L92" s="106">
        <f>'BIEU CHI TIET'!F90</f>
        <v>0</v>
      </c>
      <c r="M92" s="106">
        <f>'BIEU CHI TIET'!G90</f>
        <v>0</v>
      </c>
      <c r="N92" s="133"/>
      <c r="O92" s="74">
        <f t="shared" ref="O92" si="70">SUM(P92:Q92)</f>
        <v>0</v>
      </c>
      <c r="P92" s="133"/>
      <c r="Q92" s="106"/>
      <c r="R92" s="106"/>
      <c r="S92" s="103"/>
      <c r="U92" s="81"/>
      <c r="V92" s="81"/>
      <c r="W92" s="81"/>
      <c r="X92" s="81"/>
    </row>
    <row r="93" spans="1:24" s="112" customFormat="1" ht="63.75" customHeight="1">
      <c r="A93" s="90">
        <v>3</v>
      </c>
      <c r="B93" s="139" t="s">
        <v>118</v>
      </c>
      <c r="C93" s="95">
        <f>SUM(C94:C96)</f>
        <v>26811</v>
      </c>
      <c r="D93" s="127"/>
      <c r="E93" s="127"/>
      <c r="F93" s="95">
        <f>SUM(F94:F96)</f>
        <v>26811</v>
      </c>
      <c r="G93" s="127"/>
      <c r="H93" s="127"/>
      <c r="I93" s="127"/>
      <c r="J93" s="127"/>
      <c r="K93" s="95">
        <f t="shared" ref="K93:M93" si="71">SUM(K94:K96)</f>
        <v>24749.321378000001</v>
      </c>
      <c r="L93" s="95">
        <f t="shared" si="71"/>
        <v>24749.321378000001</v>
      </c>
      <c r="M93" s="95">
        <f t="shared" si="71"/>
        <v>0</v>
      </c>
      <c r="N93" s="140"/>
      <c r="O93" s="95">
        <f t="shared" ref="O93" si="72">SUM(O94:O96)</f>
        <v>24985</v>
      </c>
      <c r="P93" s="95">
        <f t="shared" ref="P93" si="73">SUM(P94:P96)</f>
        <v>0</v>
      </c>
      <c r="Q93" s="95">
        <f t="shared" ref="Q93" si="74">SUM(Q94:Q96)</f>
        <v>24985</v>
      </c>
      <c r="R93" s="127"/>
      <c r="S93" s="97"/>
      <c r="U93" s="113"/>
      <c r="V93" s="113"/>
      <c r="W93" s="113"/>
      <c r="X93" s="113"/>
    </row>
    <row r="94" spans="1:24" s="81" customFormat="1" ht="63">
      <c r="A94" s="92">
        <v>1</v>
      </c>
      <c r="B94" s="128" t="s">
        <v>26</v>
      </c>
      <c r="C94" s="106">
        <v>24585</v>
      </c>
      <c r="D94" s="106"/>
      <c r="E94" s="106"/>
      <c r="F94" s="106">
        <v>24585</v>
      </c>
      <c r="G94" s="106"/>
      <c r="H94" s="106"/>
      <c r="I94" s="106"/>
      <c r="J94" s="106"/>
      <c r="K94" s="74">
        <f>SUM(L94:M94)</f>
        <v>24584.640378</v>
      </c>
      <c r="L94" s="106">
        <f>'BIEU CHI TIET'!F92</f>
        <v>24584.640378</v>
      </c>
      <c r="M94" s="106">
        <f>'BIEU CHI TIET'!G92</f>
        <v>0</v>
      </c>
      <c r="N94" s="133"/>
      <c r="O94" s="74">
        <f t="shared" ref="O94:O96" si="75">SUM(P94:Q94)</f>
        <v>24585</v>
      </c>
      <c r="P94" s="133"/>
      <c r="Q94" s="106">
        <f>'BIEU CHI TIET'!K92</f>
        <v>24585</v>
      </c>
      <c r="R94" s="106"/>
      <c r="S94" s="97"/>
      <c r="T94" s="104"/>
    </row>
    <row r="95" spans="1:24" s="81" customFormat="1" ht="31.5">
      <c r="A95" s="92">
        <v>2</v>
      </c>
      <c r="B95" s="128" t="s">
        <v>116</v>
      </c>
      <c r="C95" s="141">
        <v>1226</v>
      </c>
      <c r="D95" s="106"/>
      <c r="E95" s="106"/>
      <c r="F95" s="141">
        <v>1226</v>
      </c>
      <c r="G95" s="106"/>
      <c r="H95" s="106"/>
      <c r="I95" s="106"/>
      <c r="J95" s="106"/>
      <c r="K95" s="74">
        <f t="shared" ref="K95:K96" si="76">SUM(L95:M95)</f>
        <v>164.68100000000001</v>
      </c>
      <c r="L95" s="106">
        <f>'BIEU CHI TIET'!F93</f>
        <v>164.68100000000001</v>
      </c>
      <c r="M95" s="106">
        <f>'BIEU CHI TIET'!G93</f>
        <v>0</v>
      </c>
      <c r="N95" s="133"/>
      <c r="O95" s="74">
        <f t="shared" si="75"/>
        <v>400</v>
      </c>
      <c r="P95" s="133"/>
      <c r="Q95" s="106">
        <v>400</v>
      </c>
      <c r="R95" s="106"/>
      <c r="S95" s="97"/>
      <c r="T95" s="104"/>
    </row>
    <row r="96" spans="1:24" s="81" customFormat="1">
      <c r="A96" s="92">
        <v>3</v>
      </c>
      <c r="B96" s="128" t="s">
        <v>117</v>
      </c>
      <c r="C96" s="141">
        <v>1000</v>
      </c>
      <c r="D96" s="106"/>
      <c r="E96" s="106"/>
      <c r="F96" s="141">
        <v>1000</v>
      </c>
      <c r="G96" s="106"/>
      <c r="H96" s="106"/>
      <c r="I96" s="106"/>
      <c r="J96" s="106"/>
      <c r="K96" s="74">
        <f t="shared" si="76"/>
        <v>0</v>
      </c>
      <c r="L96" s="106">
        <f>'BIEU CHI TIET'!F94</f>
        <v>0</v>
      </c>
      <c r="M96" s="106">
        <f>'BIEU CHI TIET'!G94</f>
        <v>0</v>
      </c>
      <c r="N96" s="133"/>
      <c r="O96" s="74">
        <f t="shared" si="75"/>
        <v>0</v>
      </c>
      <c r="P96" s="133"/>
      <c r="Q96" s="106"/>
      <c r="R96" s="106"/>
      <c r="S96" s="97"/>
      <c r="T96" s="104"/>
    </row>
  </sheetData>
  <mergeCells count="26">
    <mergeCell ref="P6:Q6"/>
    <mergeCell ref="E7:E8"/>
    <mergeCell ref="F7:F8"/>
    <mergeCell ref="H7:H8"/>
    <mergeCell ref="I7:J7"/>
    <mergeCell ref="K7:K8"/>
    <mergeCell ref="L7:M7"/>
    <mergeCell ref="P7:P8"/>
    <mergeCell ref="Q7:Q8"/>
    <mergeCell ref="K6:M6"/>
    <mergeCell ref="A2:S2"/>
    <mergeCell ref="A3:S3"/>
    <mergeCell ref="A5:A8"/>
    <mergeCell ref="B5:B8"/>
    <mergeCell ref="C5:F5"/>
    <mergeCell ref="G5:M5"/>
    <mergeCell ref="N5:N8"/>
    <mergeCell ref="O5:Q5"/>
    <mergeCell ref="R5:R8"/>
    <mergeCell ref="S5:S8"/>
    <mergeCell ref="C6:C8"/>
    <mergeCell ref="D6:D8"/>
    <mergeCell ref="E6:F6"/>
    <mergeCell ref="G6:G8"/>
    <mergeCell ref="H6:J6"/>
    <mergeCell ref="O6:O8"/>
  </mergeCells>
  <phoneticPr fontId="45" type="noConversion"/>
  <printOptions horizontalCentered="1"/>
  <pageMargins left="0" right="0" top="0.5" bottom="0.5" header="0.3" footer="0.3"/>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S94"/>
  <sheetViews>
    <sheetView view="pageBreakPreview" topLeftCell="A34" zoomScale="85" zoomScaleNormal="85" zoomScaleSheetLayoutView="85" workbookViewId="0">
      <selection activeCell="B46" sqref="B46"/>
    </sheetView>
  </sheetViews>
  <sheetFormatPr defaultColWidth="8.85546875" defaultRowHeight="15"/>
  <cols>
    <col min="1" max="1" width="7.28515625" style="191" customWidth="1"/>
    <col min="2" max="2" width="39.28515625" style="192" customWidth="1"/>
    <col min="3" max="3" width="10.5703125" style="193" hidden="1" customWidth="1"/>
    <col min="4" max="4" width="14.28515625" style="194" customWidth="1"/>
    <col min="5" max="5" width="14.28515625" style="163" customWidth="1"/>
    <col min="6" max="6" width="13.28515625" style="163" customWidth="1"/>
    <col min="7" max="7" width="13.7109375" style="163" customWidth="1"/>
    <col min="8" max="8" width="8.7109375" style="163" customWidth="1"/>
    <col min="9" max="9" width="13.5703125" style="163" customWidth="1"/>
    <col min="10" max="10" width="9.85546875" style="195" customWidth="1"/>
    <col min="11" max="11" width="13.42578125" style="195" customWidth="1"/>
    <col min="12" max="12" width="9.85546875" style="195" customWidth="1"/>
    <col min="13" max="13" width="49.85546875" style="195" customWidth="1"/>
    <col min="14" max="14" width="15.85546875" style="147" customWidth="1"/>
    <col min="15" max="15" width="20.140625" style="146" hidden="1" customWidth="1"/>
    <col min="16" max="16" width="20.5703125" style="147" hidden="1" customWidth="1"/>
    <col min="17" max="17" width="18.7109375" style="147" customWidth="1"/>
    <col min="18" max="18" width="10.5703125" style="147" customWidth="1"/>
    <col min="19" max="19" width="9.7109375" style="147" bestFit="1" customWidth="1"/>
    <col min="20" max="16384" width="8.85546875" style="147"/>
  </cols>
  <sheetData>
    <row r="1" spans="1:18" ht="20.25">
      <c r="A1" s="303"/>
      <c r="B1" s="303"/>
      <c r="C1" s="303"/>
      <c r="D1" s="303"/>
      <c r="E1" s="303"/>
      <c r="F1" s="303"/>
      <c r="G1" s="303"/>
      <c r="H1" s="303"/>
      <c r="I1" s="303"/>
      <c r="J1" s="303"/>
      <c r="K1" s="303"/>
      <c r="L1" s="303"/>
      <c r="M1" s="303"/>
      <c r="N1" s="303"/>
    </row>
    <row r="2" spans="1:18" ht="18.75">
      <c r="A2" s="304" t="s">
        <v>160</v>
      </c>
      <c r="B2" s="304"/>
      <c r="C2" s="304"/>
      <c r="D2" s="304"/>
      <c r="E2" s="304"/>
      <c r="F2" s="304"/>
      <c r="G2" s="304"/>
      <c r="H2" s="304"/>
      <c r="I2" s="304"/>
      <c r="J2" s="304"/>
      <c r="K2" s="304"/>
      <c r="L2" s="304"/>
      <c r="M2" s="304"/>
      <c r="N2" s="304"/>
    </row>
    <row r="3" spans="1:18" ht="18.75">
      <c r="A3" s="305"/>
      <c r="B3" s="305"/>
      <c r="C3" s="305"/>
      <c r="D3" s="305"/>
      <c r="E3" s="305"/>
      <c r="F3" s="305"/>
      <c r="G3" s="305"/>
      <c r="H3" s="305"/>
      <c r="I3" s="305"/>
      <c r="J3" s="305"/>
      <c r="K3" s="305"/>
      <c r="L3" s="305"/>
      <c r="M3" s="305"/>
      <c r="N3" s="305"/>
    </row>
    <row r="4" spans="1:18">
      <c r="A4" s="148"/>
      <c r="B4" s="149"/>
      <c r="C4" s="150"/>
      <c r="D4" s="151"/>
      <c r="E4" s="151"/>
      <c r="F4" s="151"/>
      <c r="G4" s="151"/>
      <c r="H4" s="151"/>
      <c r="I4" s="151"/>
      <c r="J4" s="152"/>
      <c r="K4" s="152"/>
      <c r="L4" s="152"/>
      <c r="M4" s="152"/>
      <c r="N4" s="153" t="s">
        <v>85</v>
      </c>
    </row>
    <row r="5" spans="1:18" ht="30" customHeight="1">
      <c r="A5" s="282" t="s">
        <v>1</v>
      </c>
      <c r="B5" s="282" t="s">
        <v>2</v>
      </c>
      <c r="C5" s="308" t="s">
        <v>3</v>
      </c>
      <c r="D5" s="307" t="s">
        <v>80</v>
      </c>
      <c r="E5" s="278" t="s">
        <v>84</v>
      </c>
      <c r="F5" s="306"/>
      <c r="G5" s="306"/>
      <c r="H5" s="278" t="s">
        <v>31</v>
      </c>
      <c r="I5" s="294" t="s">
        <v>109</v>
      </c>
      <c r="J5" s="279" t="s">
        <v>32</v>
      </c>
      <c r="K5" s="294" t="s">
        <v>106</v>
      </c>
      <c r="L5" s="279" t="s">
        <v>32</v>
      </c>
      <c r="M5" s="300" t="s">
        <v>110</v>
      </c>
      <c r="N5" s="282" t="s">
        <v>4</v>
      </c>
    </row>
    <row r="6" spans="1:18" ht="15.75">
      <c r="A6" s="282"/>
      <c r="B6" s="282"/>
      <c r="C6" s="309"/>
      <c r="D6" s="307"/>
      <c r="E6" s="278" t="s">
        <v>5</v>
      </c>
      <c r="F6" s="278" t="s">
        <v>28</v>
      </c>
      <c r="G6" s="278"/>
      <c r="H6" s="278"/>
      <c r="I6" s="299"/>
      <c r="J6" s="279"/>
      <c r="K6" s="299"/>
      <c r="L6" s="279"/>
      <c r="M6" s="301"/>
      <c r="N6" s="282"/>
    </row>
    <row r="7" spans="1:18" ht="63">
      <c r="A7" s="282"/>
      <c r="B7" s="282"/>
      <c r="C7" s="310"/>
      <c r="D7" s="307"/>
      <c r="E7" s="306"/>
      <c r="F7" s="91" t="s">
        <v>29</v>
      </c>
      <c r="G7" s="91" t="s">
        <v>30</v>
      </c>
      <c r="H7" s="278"/>
      <c r="I7" s="295"/>
      <c r="J7" s="279"/>
      <c r="K7" s="295"/>
      <c r="L7" s="279"/>
      <c r="M7" s="302"/>
      <c r="N7" s="282"/>
    </row>
    <row r="8" spans="1:18" ht="15.75">
      <c r="A8" s="94"/>
      <c r="B8" s="89" t="s">
        <v>6</v>
      </c>
      <c r="C8" s="97"/>
      <c r="D8" s="95">
        <f>D9+D18</f>
        <v>796440</v>
      </c>
      <c r="E8" s="95">
        <f t="shared" ref="E8:G8" si="0">E9+E18</f>
        <v>315176.36258799996</v>
      </c>
      <c r="F8" s="95">
        <f t="shared" si="0"/>
        <v>142381.462038</v>
      </c>
      <c r="G8" s="95">
        <f t="shared" si="0"/>
        <v>172794.90054999999</v>
      </c>
      <c r="H8" s="96">
        <f>E8/D8</f>
        <v>0.39573145822409717</v>
      </c>
      <c r="I8" s="95">
        <f t="shared" ref="I8" si="1">I9+I18</f>
        <v>584463.17037800001</v>
      </c>
      <c r="J8" s="96">
        <f>I8/D8</f>
        <v>0.73384457131485115</v>
      </c>
      <c r="K8" s="95">
        <f t="shared" ref="K8" si="2">K9+K18</f>
        <v>796440</v>
      </c>
      <c r="L8" s="154">
        <f>K8/D8</f>
        <v>1</v>
      </c>
      <c r="M8" s="154"/>
      <c r="N8" s="97"/>
    </row>
    <row r="9" spans="1:18" ht="15.75">
      <c r="A9" s="94" t="s">
        <v>7</v>
      </c>
      <c r="B9" s="98" t="s">
        <v>34</v>
      </c>
      <c r="C9" s="97"/>
      <c r="D9" s="95">
        <f>D10+D13</f>
        <v>144316</v>
      </c>
      <c r="E9" s="95">
        <f t="shared" ref="E9:G9" si="3">E10+E13</f>
        <v>65121.957000000002</v>
      </c>
      <c r="F9" s="95">
        <f t="shared" si="3"/>
        <v>31696.042000000001</v>
      </c>
      <c r="G9" s="95">
        <f t="shared" si="3"/>
        <v>33425.915000000001</v>
      </c>
      <c r="H9" s="96">
        <f>E9/D9</f>
        <v>0.45124557914576346</v>
      </c>
      <c r="I9" s="95">
        <f t="shared" ref="I9" si="4">I10+I13</f>
        <v>135200</v>
      </c>
      <c r="J9" s="96">
        <f t="shared" ref="J9:J10" si="5">I9/D9</f>
        <v>0.9368330607832811</v>
      </c>
      <c r="K9" s="95">
        <f t="shared" ref="K9" si="6">K10+K13</f>
        <v>144316</v>
      </c>
      <c r="L9" s="154">
        <f>K9/D9</f>
        <v>1</v>
      </c>
      <c r="M9" s="154"/>
      <c r="N9" s="97"/>
    </row>
    <row r="10" spans="1:18" ht="31.5">
      <c r="A10" s="94" t="s">
        <v>8</v>
      </c>
      <c r="B10" s="98" t="s">
        <v>81</v>
      </c>
      <c r="C10" s="97"/>
      <c r="D10" s="95">
        <f>D11+D12</f>
        <v>5116</v>
      </c>
      <c r="E10" s="95">
        <f>E11+E12</f>
        <v>1441.3009999999999</v>
      </c>
      <c r="F10" s="95">
        <f>F11+F12</f>
        <v>144.30099999999999</v>
      </c>
      <c r="G10" s="95">
        <f>G11+G12</f>
        <v>1297</v>
      </c>
      <c r="H10" s="96">
        <f>E10/D10</f>
        <v>0.28172419859265052</v>
      </c>
      <c r="I10" s="95">
        <f>I11+I12</f>
        <v>3600</v>
      </c>
      <c r="J10" s="96">
        <f t="shared" si="5"/>
        <v>0.7036747458952306</v>
      </c>
      <c r="K10" s="95">
        <f>K11+K12</f>
        <v>5116</v>
      </c>
      <c r="L10" s="154">
        <f>K10/D10</f>
        <v>1</v>
      </c>
      <c r="M10" s="154"/>
      <c r="N10" s="97"/>
    </row>
    <row r="11" spans="1:18" s="158" customFormat="1" ht="110.25">
      <c r="A11" s="100">
        <v>1</v>
      </c>
      <c r="B11" s="101" t="s">
        <v>82</v>
      </c>
      <c r="C11" s="103"/>
      <c r="D11" s="155">
        <v>2558</v>
      </c>
      <c r="E11" s="216">
        <f>SUM(F11:G11)</f>
        <v>792.30099999999993</v>
      </c>
      <c r="F11" s="74">
        <v>144.30099999999999</v>
      </c>
      <c r="G11" s="74">
        <v>648</v>
      </c>
      <c r="H11" s="102"/>
      <c r="I11" s="74">
        <v>1800</v>
      </c>
      <c r="J11" s="102"/>
      <c r="K11" s="74">
        <f>D11</f>
        <v>2558</v>
      </c>
      <c r="L11" s="156"/>
      <c r="M11" s="248" t="s">
        <v>189</v>
      </c>
      <c r="N11" s="103"/>
      <c r="O11" s="157"/>
      <c r="R11" s="159"/>
    </row>
    <row r="12" spans="1:18" s="158" customFormat="1" ht="31.5">
      <c r="A12" s="100">
        <v>2</v>
      </c>
      <c r="B12" s="101" t="s">
        <v>83</v>
      </c>
      <c r="C12" s="103"/>
      <c r="D12" s="155">
        <v>2558</v>
      </c>
      <c r="E12" s="74">
        <f>SUM(F12:G12)</f>
        <v>649</v>
      </c>
      <c r="F12" s="74"/>
      <c r="G12" s="74">
        <v>649</v>
      </c>
      <c r="H12" s="102"/>
      <c r="I12" s="74">
        <v>1800</v>
      </c>
      <c r="J12" s="102"/>
      <c r="K12" s="74">
        <f>D12</f>
        <v>2558</v>
      </c>
      <c r="L12" s="156"/>
      <c r="M12" s="248" t="s">
        <v>190</v>
      </c>
      <c r="N12" s="103"/>
      <c r="O12" s="157"/>
    </row>
    <row r="13" spans="1:18" ht="15.75">
      <c r="A13" s="94" t="s">
        <v>12</v>
      </c>
      <c r="B13" s="160" t="s">
        <v>92</v>
      </c>
      <c r="C13" s="97"/>
      <c r="D13" s="95">
        <f>SUM(D14:D17)</f>
        <v>139200</v>
      </c>
      <c r="E13" s="95">
        <f t="shared" ref="E13:G13" si="7">SUM(E14:E17)</f>
        <v>63680.656000000003</v>
      </c>
      <c r="F13" s="95">
        <f t="shared" si="7"/>
        <v>31551.741000000002</v>
      </c>
      <c r="G13" s="95">
        <f t="shared" si="7"/>
        <v>32128.915000000001</v>
      </c>
      <c r="H13" s="96">
        <f>E13/D13</f>
        <v>0.45747597701149428</v>
      </c>
      <c r="I13" s="95">
        <f t="shared" ref="I13" si="8">SUM(I14:I17)</f>
        <v>131600</v>
      </c>
      <c r="J13" s="96">
        <f>I13/D13</f>
        <v>0.9454022988505747</v>
      </c>
      <c r="K13" s="95">
        <f t="shared" ref="K13" si="9">SUM(K14:K17)</f>
        <v>139200</v>
      </c>
      <c r="L13" s="154">
        <f>K13/D13</f>
        <v>1</v>
      </c>
      <c r="M13" s="154"/>
      <c r="N13" s="97"/>
    </row>
    <row r="14" spans="1:18" ht="365.25" customHeight="1">
      <c r="A14" s="100">
        <v>1</v>
      </c>
      <c r="B14" s="105" t="s">
        <v>38</v>
      </c>
      <c r="C14" s="161">
        <v>7935431</v>
      </c>
      <c r="D14" s="106">
        <v>40100</v>
      </c>
      <c r="E14" s="74">
        <f t="shared" ref="E14:E22" si="10">SUM(F14:G14)</f>
        <v>22086.133000000002</v>
      </c>
      <c r="F14" s="74">
        <v>13896.221</v>
      </c>
      <c r="G14" s="74">
        <v>8189.9120000000003</v>
      </c>
      <c r="H14" s="96"/>
      <c r="I14" s="162">
        <v>40500</v>
      </c>
      <c r="J14" s="96"/>
      <c r="K14" s="74">
        <f>D14</f>
        <v>40100</v>
      </c>
      <c r="L14" s="154"/>
      <c r="M14" s="248" t="s">
        <v>191</v>
      </c>
      <c r="N14" s="97"/>
    </row>
    <row r="15" spans="1:18" ht="78.75">
      <c r="A15" s="100">
        <v>2</v>
      </c>
      <c r="B15" s="105" t="s">
        <v>37</v>
      </c>
      <c r="C15" s="161">
        <v>7935432</v>
      </c>
      <c r="D15" s="106">
        <v>53100</v>
      </c>
      <c r="E15" s="74">
        <f t="shared" si="10"/>
        <v>16419.592000000001</v>
      </c>
      <c r="F15" s="74">
        <f>6119.936+3000.341</f>
        <v>9120.277</v>
      </c>
      <c r="G15" s="74">
        <f>8287.315-988</f>
        <v>7299.3150000000005</v>
      </c>
      <c r="H15" s="96"/>
      <c r="I15" s="162">
        <v>53100</v>
      </c>
      <c r="J15" s="96"/>
      <c r="K15" s="74">
        <f t="shared" ref="K15:K17" si="11">D15</f>
        <v>53100</v>
      </c>
      <c r="L15" s="154"/>
      <c r="M15" s="248" t="s">
        <v>192</v>
      </c>
      <c r="N15" s="97"/>
      <c r="R15" s="163"/>
    </row>
    <row r="16" spans="1:18" ht="78.75">
      <c r="A16" s="100">
        <v>3</v>
      </c>
      <c r="B16" s="105" t="s">
        <v>39</v>
      </c>
      <c r="C16" s="161">
        <v>7935430</v>
      </c>
      <c r="D16" s="108">
        <v>16000</v>
      </c>
      <c r="E16" s="74">
        <f t="shared" si="10"/>
        <v>8976.82</v>
      </c>
      <c r="F16" s="74">
        <v>7855.9889999999996</v>
      </c>
      <c r="G16" s="74">
        <v>1120.8309999999999</v>
      </c>
      <c r="H16" s="96"/>
      <c r="I16" s="162">
        <v>16000</v>
      </c>
      <c r="J16" s="96"/>
      <c r="K16" s="74">
        <f t="shared" si="11"/>
        <v>16000</v>
      </c>
      <c r="L16" s="154"/>
      <c r="M16" s="248" t="s">
        <v>193</v>
      </c>
      <c r="N16" s="97"/>
      <c r="R16" s="163"/>
    </row>
    <row r="17" spans="1:19" ht="31.5">
      <c r="A17" s="100">
        <v>4</v>
      </c>
      <c r="B17" s="105" t="s">
        <v>13</v>
      </c>
      <c r="C17" s="161">
        <v>7965206</v>
      </c>
      <c r="D17" s="109">
        <v>30000</v>
      </c>
      <c r="E17" s="74">
        <f t="shared" si="10"/>
        <v>16198.111000000001</v>
      </c>
      <c r="F17" s="235">
        <v>679.25400000000002</v>
      </c>
      <c r="G17" s="235">
        <f>15389.747+129.11</f>
        <v>15518.857</v>
      </c>
      <c r="H17" s="96"/>
      <c r="I17" s="162">
        <v>22000</v>
      </c>
      <c r="J17" s="96"/>
      <c r="K17" s="74">
        <f t="shared" si="11"/>
        <v>30000</v>
      </c>
      <c r="L17" s="154"/>
      <c r="M17" s="248" t="s">
        <v>194</v>
      </c>
      <c r="N17" s="97"/>
      <c r="R17" s="163"/>
    </row>
    <row r="18" spans="1:19" s="167" customFormat="1" ht="16.5">
      <c r="A18" s="94" t="s">
        <v>14</v>
      </c>
      <c r="B18" s="164" t="s">
        <v>90</v>
      </c>
      <c r="C18" s="165"/>
      <c r="D18" s="111">
        <f>D19+D31</f>
        <v>652124</v>
      </c>
      <c r="E18" s="111">
        <f>E19+E31</f>
        <v>250054.40558799997</v>
      </c>
      <c r="F18" s="111">
        <f>F19+F31</f>
        <v>110685.42003799998</v>
      </c>
      <c r="G18" s="111">
        <f>G19+G31</f>
        <v>139368.98554999998</v>
      </c>
      <c r="H18" s="96">
        <f t="shared" ref="H18:H20" si="12">E18/D18</f>
        <v>0.38344610164324572</v>
      </c>
      <c r="I18" s="111">
        <f t="shared" ref="I18:K18" si="13">I19+I31</f>
        <v>449263.17037800001</v>
      </c>
      <c r="J18" s="111">
        <f t="shared" si="13"/>
        <v>1.9195182567948295</v>
      </c>
      <c r="K18" s="111">
        <f t="shared" si="13"/>
        <v>652124</v>
      </c>
      <c r="L18" s="154">
        <f>K18/D18</f>
        <v>1</v>
      </c>
      <c r="M18" s="154"/>
      <c r="N18" s="97"/>
      <c r="O18" s="166"/>
      <c r="R18" s="168"/>
    </row>
    <row r="19" spans="1:19" s="167" customFormat="1" ht="15.75">
      <c r="A19" s="94" t="s">
        <v>8</v>
      </c>
      <c r="B19" s="115" t="s">
        <v>91</v>
      </c>
      <c r="C19" s="165"/>
      <c r="D19" s="111">
        <f>D20+D25</f>
        <v>327313</v>
      </c>
      <c r="E19" s="111">
        <f t="shared" ref="E19:G19" si="14">E20+E25</f>
        <v>45865.680609999996</v>
      </c>
      <c r="F19" s="111">
        <f t="shared" si="14"/>
        <v>11522.465809999998</v>
      </c>
      <c r="G19" s="111">
        <f t="shared" si="14"/>
        <v>34343.214800000002</v>
      </c>
      <c r="H19" s="96">
        <f t="shared" si="12"/>
        <v>0.14012789168166248</v>
      </c>
      <c r="I19" s="111">
        <f t="shared" ref="I19:K19" si="15">I20+I25</f>
        <v>186913</v>
      </c>
      <c r="J19" s="111">
        <f t="shared" si="15"/>
        <v>1.1118172541255849</v>
      </c>
      <c r="K19" s="111">
        <f t="shared" si="15"/>
        <v>327313</v>
      </c>
      <c r="L19" s="154">
        <f t="shared" ref="L19:L20" si="16">K19/D19</f>
        <v>1</v>
      </c>
      <c r="M19" s="154"/>
      <c r="N19" s="97"/>
      <c r="O19" s="166"/>
      <c r="R19" s="168"/>
    </row>
    <row r="20" spans="1:19" s="167" customFormat="1" ht="31.5">
      <c r="A20" s="94">
        <v>1</v>
      </c>
      <c r="B20" s="115" t="s">
        <v>108</v>
      </c>
      <c r="C20" s="165"/>
      <c r="D20" s="111">
        <f>SUM(D21:D24)</f>
        <v>68313</v>
      </c>
      <c r="E20" s="111">
        <f t="shared" ref="E20:G20" si="17">SUM(E21:E24)</f>
        <v>26401.517799999998</v>
      </c>
      <c r="F20" s="111">
        <f t="shared" si="17"/>
        <v>10496.243999999999</v>
      </c>
      <c r="G20" s="111">
        <f t="shared" si="17"/>
        <v>15905.273800000001</v>
      </c>
      <c r="H20" s="96">
        <f t="shared" si="12"/>
        <v>0.38647867609386205</v>
      </c>
      <c r="I20" s="111">
        <f t="shared" ref="I20" si="18">SUM(I21:I22)</f>
        <v>36200</v>
      </c>
      <c r="J20" s="96">
        <f t="shared" ref="J20" si="19">I20/D20</f>
        <v>0.52991377922211003</v>
      </c>
      <c r="K20" s="111">
        <f>SUM(K21:K24)</f>
        <v>68313</v>
      </c>
      <c r="L20" s="154">
        <f t="shared" si="16"/>
        <v>1</v>
      </c>
      <c r="M20" s="154"/>
      <c r="N20" s="97"/>
      <c r="O20" s="166"/>
      <c r="R20" s="168"/>
    </row>
    <row r="21" spans="1:19" ht="94.5">
      <c r="A21" s="100" t="s">
        <v>93</v>
      </c>
      <c r="B21" s="105" t="s">
        <v>50</v>
      </c>
      <c r="C21" s="161">
        <v>7959231</v>
      </c>
      <c r="D21" s="106">
        <v>26113</v>
      </c>
      <c r="E21" s="74">
        <f t="shared" si="10"/>
        <v>987.26299999999992</v>
      </c>
      <c r="F21" s="216">
        <v>361.47899999999998</v>
      </c>
      <c r="G21" s="216">
        <v>625.78399999999999</v>
      </c>
      <c r="H21" s="95"/>
      <c r="I21" s="74">
        <v>14000</v>
      </c>
      <c r="J21" s="95"/>
      <c r="K21" s="74">
        <f>D21</f>
        <v>26113</v>
      </c>
      <c r="L21" s="154"/>
      <c r="M21" s="248" t="s">
        <v>195</v>
      </c>
      <c r="N21" s="97"/>
      <c r="O21" s="169">
        <v>1</v>
      </c>
      <c r="P21" s="170"/>
      <c r="Q21" s="171"/>
      <c r="R21" s="170"/>
      <c r="S21" s="170"/>
    </row>
    <row r="22" spans="1:19" ht="78.75">
      <c r="A22" s="100" t="s">
        <v>96</v>
      </c>
      <c r="B22" s="116" t="s">
        <v>24</v>
      </c>
      <c r="C22" s="161">
        <v>7891902</v>
      </c>
      <c r="D22" s="106">
        <v>22200</v>
      </c>
      <c r="E22" s="74">
        <f t="shared" si="10"/>
        <v>21938.805</v>
      </c>
      <c r="F22" s="74">
        <v>8760.5859999999993</v>
      </c>
      <c r="G22" s="74">
        <v>13178.219000000001</v>
      </c>
      <c r="H22" s="96"/>
      <c r="I22" s="74">
        <v>22200</v>
      </c>
      <c r="J22" s="96"/>
      <c r="K22" s="74">
        <f>D22</f>
        <v>22200</v>
      </c>
      <c r="L22" s="154"/>
      <c r="M22" s="248" t="s">
        <v>196</v>
      </c>
      <c r="N22" s="97"/>
      <c r="O22" s="146">
        <v>1</v>
      </c>
      <c r="P22" s="163"/>
      <c r="Q22" s="163"/>
      <c r="R22" s="163"/>
    </row>
    <row r="23" spans="1:19" ht="130.5" customHeight="1">
      <c r="A23" s="100" t="s">
        <v>97</v>
      </c>
      <c r="B23" s="116" t="s">
        <v>65</v>
      </c>
      <c r="C23" s="161">
        <v>7891589</v>
      </c>
      <c r="D23" s="106">
        <v>13000</v>
      </c>
      <c r="E23" s="74">
        <f>SUM(F23:G23)</f>
        <v>3475.4497999999999</v>
      </c>
      <c r="F23" s="216">
        <v>1374.1790000000001</v>
      </c>
      <c r="G23" s="216">
        <v>2101.2707999999998</v>
      </c>
      <c r="H23" s="96"/>
      <c r="I23" s="106">
        <v>13000</v>
      </c>
      <c r="J23" s="96"/>
      <c r="K23" s="106">
        <f>D23</f>
        <v>13000</v>
      </c>
      <c r="L23" s="154"/>
      <c r="M23" s="248" t="s">
        <v>197</v>
      </c>
      <c r="N23" s="103"/>
      <c r="O23" s="146">
        <v>1</v>
      </c>
    </row>
    <row r="24" spans="1:19" ht="126">
      <c r="A24" s="100" t="s">
        <v>159</v>
      </c>
      <c r="B24" s="116" t="s">
        <v>66</v>
      </c>
      <c r="C24" s="161">
        <v>7891903</v>
      </c>
      <c r="D24" s="106">
        <v>7000</v>
      </c>
      <c r="E24" s="74">
        <f>SUM(F24:G24)</f>
        <v>0</v>
      </c>
      <c r="F24" s="172"/>
      <c r="G24" s="172"/>
      <c r="H24" s="96"/>
      <c r="I24" s="106">
        <v>3000</v>
      </c>
      <c r="J24" s="96"/>
      <c r="K24" s="106">
        <f>D24</f>
        <v>7000</v>
      </c>
      <c r="L24" s="154"/>
      <c r="M24" s="248" t="s">
        <v>114</v>
      </c>
      <c r="N24" s="97"/>
      <c r="O24" s="146">
        <v>1</v>
      </c>
    </row>
    <row r="25" spans="1:19" ht="31.5">
      <c r="A25" s="173">
        <v>3</v>
      </c>
      <c r="B25" s="120" t="s">
        <v>86</v>
      </c>
      <c r="C25" s="174"/>
      <c r="D25" s="172">
        <f>SUM(D26:D30)</f>
        <v>259000</v>
      </c>
      <c r="E25" s="172">
        <f>SUM(E26:E30)</f>
        <v>19464.162810000002</v>
      </c>
      <c r="F25" s="172">
        <f>SUM(F26:F30)</f>
        <v>1026.22181</v>
      </c>
      <c r="G25" s="172">
        <f>SUM(G26:G30)</f>
        <v>18437.940999999999</v>
      </c>
      <c r="H25" s="96">
        <f>E25/D25</f>
        <v>7.5151207760617761E-2</v>
      </c>
      <c r="I25" s="172">
        <f>SUM(I26:I30)</f>
        <v>150713</v>
      </c>
      <c r="J25" s="96">
        <f>I25/D25</f>
        <v>0.58190347490347494</v>
      </c>
      <c r="K25" s="172">
        <f>SUM(K26:K30)</f>
        <v>259000</v>
      </c>
      <c r="L25" s="154">
        <f>K25/D25</f>
        <v>1</v>
      </c>
      <c r="M25" s="154"/>
      <c r="N25" s="97"/>
    </row>
    <row r="26" spans="1:19" ht="124.5" customHeight="1">
      <c r="A26" s="175" t="s">
        <v>101</v>
      </c>
      <c r="B26" s="105" t="s">
        <v>67</v>
      </c>
      <c r="C26" s="161">
        <v>7959231</v>
      </c>
      <c r="D26" s="106">
        <v>83113</v>
      </c>
      <c r="E26" s="74">
        <f>SUM(F26:G26)</f>
        <v>10725.05781</v>
      </c>
      <c r="F26" s="74">
        <v>287.11680999999999</v>
      </c>
      <c r="G26" s="74">
        <v>10437.941000000001</v>
      </c>
      <c r="H26" s="95"/>
      <c r="I26" s="74">
        <v>78113</v>
      </c>
      <c r="J26" s="95"/>
      <c r="K26" s="74">
        <f>D26</f>
        <v>83113</v>
      </c>
      <c r="L26" s="154"/>
      <c r="M26" s="248" t="s">
        <v>198</v>
      </c>
      <c r="N26" s="97"/>
      <c r="O26" s="146">
        <v>1</v>
      </c>
    </row>
    <row r="27" spans="1:19" ht="31.5">
      <c r="A27" s="175" t="s">
        <v>102</v>
      </c>
      <c r="B27" s="105" t="s">
        <v>68</v>
      </c>
      <c r="C27" s="161">
        <v>7888547</v>
      </c>
      <c r="D27" s="106">
        <v>50000</v>
      </c>
      <c r="E27" s="74">
        <f>SUM(F27:G27)</f>
        <v>0</v>
      </c>
      <c r="F27" s="176"/>
      <c r="G27" s="176"/>
      <c r="H27" s="96"/>
      <c r="I27" s="74">
        <v>33600</v>
      </c>
      <c r="J27" s="96"/>
      <c r="K27" s="74">
        <f t="shared" ref="K27:K30" si="20">D27</f>
        <v>50000</v>
      </c>
      <c r="L27" s="154"/>
      <c r="M27" s="248" t="s">
        <v>199</v>
      </c>
      <c r="N27" s="97"/>
      <c r="O27" s="146">
        <v>1</v>
      </c>
    </row>
    <row r="28" spans="1:19" ht="31.5">
      <c r="A28" s="175" t="s">
        <v>103</v>
      </c>
      <c r="B28" s="105" t="s">
        <v>69</v>
      </c>
      <c r="C28" s="161" t="s">
        <v>79</v>
      </c>
      <c r="D28" s="106">
        <v>50000</v>
      </c>
      <c r="E28" s="74">
        <f>SUM(F28:G28)</f>
        <v>0</v>
      </c>
      <c r="F28" s="75"/>
      <c r="G28" s="75"/>
      <c r="H28" s="95"/>
      <c r="I28" s="74">
        <v>13000</v>
      </c>
      <c r="J28" s="95"/>
      <c r="K28" s="74">
        <f t="shared" si="20"/>
        <v>50000</v>
      </c>
      <c r="L28" s="154"/>
      <c r="M28" s="248" t="s">
        <v>199</v>
      </c>
      <c r="N28" s="97"/>
      <c r="O28" s="146">
        <v>1</v>
      </c>
    </row>
    <row r="29" spans="1:19" ht="30" customHeight="1">
      <c r="A29" s="175" t="s">
        <v>104</v>
      </c>
      <c r="B29" s="105" t="s">
        <v>50</v>
      </c>
      <c r="C29" s="161">
        <v>7959231</v>
      </c>
      <c r="D29" s="106">
        <v>13887</v>
      </c>
      <c r="E29" s="74">
        <f>SUM(F29:G29)</f>
        <v>0</v>
      </c>
      <c r="F29" s="75"/>
      <c r="G29" s="75"/>
      <c r="H29" s="95"/>
      <c r="I29" s="74">
        <v>14000</v>
      </c>
      <c r="J29" s="95"/>
      <c r="K29" s="74">
        <f t="shared" si="20"/>
        <v>13887</v>
      </c>
      <c r="L29" s="154"/>
      <c r="M29" s="229"/>
      <c r="N29" s="97"/>
    </row>
    <row r="30" spans="1:19" ht="47.25" customHeight="1">
      <c r="A30" s="175" t="s">
        <v>105</v>
      </c>
      <c r="B30" s="105" t="s">
        <v>70</v>
      </c>
      <c r="C30" s="161">
        <v>8016527</v>
      </c>
      <c r="D30" s="106">
        <v>62000</v>
      </c>
      <c r="E30" s="74">
        <f>SUM(F30:G30)</f>
        <v>8739.1049999999996</v>
      </c>
      <c r="F30" s="74">
        <v>739.10500000000002</v>
      </c>
      <c r="G30" s="74">
        <v>8000</v>
      </c>
      <c r="H30" s="95"/>
      <c r="I30" s="74">
        <v>12000</v>
      </c>
      <c r="J30" s="95"/>
      <c r="K30" s="74">
        <f t="shared" si="20"/>
        <v>62000</v>
      </c>
      <c r="L30" s="154"/>
      <c r="M30" s="248" t="s">
        <v>200</v>
      </c>
      <c r="N30" s="103"/>
      <c r="O30" s="146">
        <v>1</v>
      </c>
    </row>
    <row r="31" spans="1:19" ht="15.75">
      <c r="A31" s="177" t="s">
        <v>12</v>
      </c>
      <c r="B31" s="178" t="s">
        <v>94</v>
      </c>
      <c r="C31" s="179"/>
      <c r="D31" s="180">
        <f>D32+D51+D91</f>
        <v>324811</v>
      </c>
      <c r="E31" s="180">
        <f>E32+E51+E91</f>
        <v>204188.72497799998</v>
      </c>
      <c r="F31" s="180">
        <f>F32+F51+F91</f>
        <v>99162.954227999988</v>
      </c>
      <c r="G31" s="180">
        <f>G32+G51+G91</f>
        <v>105025.77075</v>
      </c>
      <c r="H31" s="96">
        <f>E31/D31</f>
        <v>0.62863857744349783</v>
      </c>
      <c r="I31" s="180">
        <f>I32+I51+I91</f>
        <v>262350.17037800001</v>
      </c>
      <c r="J31" s="96">
        <f>I31/D31</f>
        <v>0.80770100266924461</v>
      </c>
      <c r="K31" s="180">
        <f>K32+K51+K91</f>
        <v>324811</v>
      </c>
      <c r="L31" s="154">
        <f t="shared" ref="L31:L32" si="21">K31/D31</f>
        <v>1</v>
      </c>
      <c r="M31" s="154"/>
      <c r="N31" s="103"/>
    </row>
    <row r="32" spans="1:19" ht="15.75">
      <c r="A32" s="90">
        <v>1</v>
      </c>
      <c r="B32" s="126" t="s">
        <v>95</v>
      </c>
      <c r="C32" s="165"/>
      <c r="D32" s="127">
        <f>D33+D41+D36</f>
        <v>28000</v>
      </c>
      <c r="E32" s="127">
        <f t="shared" ref="E32:I32" si="22">E33+E41+E36</f>
        <v>15110.752</v>
      </c>
      <c r="F32" s="127">
        <f t="shared" si="22"/>
        <v>15110.752</v>
      </c>
      <c r="G32" s="127">
        <f t="shared" si="22"/>
        <v>0</v>
      </c>
      <c r="H32" s="96">
        <f>E32/D32</f>
        <v>0.53966971428571431</v>
      </c>
      <c r="I32" s="127">
        <f t="shared" si="22"/>
        <v>21742</v>
      </c>
      <c r="J32" s="96">
        <f>I32/D32</f>
        <v>0.77649999999999997</v>
      </c>
      <c r="K32" s="127">
        <f>K33+K41+K36</f>
        <v>28000</v>
      </c>
      <c r="L32" s="154">
        <f t="shared" si="21"/>
        <v>1</v>
      </c>
      <c r="M32" s="154"/>
      <c r="N32" s="103"/>
    </row>
    <row r="33" spans="1:17" ht="31.5">
      <c r="A33" s="90" t="s">
        <v>93</v>
      </c>
      <c r="B33" s="126" t="s">
        <v>71</v>
      </c>
      <c r="C33" s="165"/>
      <c r="D33" s="127">
        <f>D34</f>
        <v>700</v>
      </c>
      <c r="E33" s="127">
        <f t="shared" ref="E33:K34" si="23">E34</f>
        <v>0</v>
      </c>
      <c r="F33" s="127">
        <f t="shared" si="23"/>
        <v>0</v>
      </c>
      <c r="G33" s="127">
        <f t="shared" si="23"/>
        <v>0</v>
      </c>
      <c r="H33" s="127">
        <f t="shared" si="23"/>
        <v>0</v>
      </c>
      <c r="I33" s="127">
        <f t="shared" si="23"/>
        <v>0</v>
      </c>
      <c r="J33" s="127">
        <f t="shared" si="23"/>
        <v>0</v>
      </c>
      <c r="K33" s="127">
        <f>K34</f>
        <v>700</v>
      </c>
      <c r="L33" s="127"/>
      <c r="M33" s="154"/>
      <c r="N33" s="97"/>
    </row>
    <row r="34" spans="1:17" s="158" customFormat="1" ht="31.5">
      <c r="A34" s="92"/>
      <c r="B34" s="128" t="s">
        <v>18</v>
      </c>
      <c r="C34" s="161"/>
      <c r="D34" s="106">
        <f>D35</f>
        <v>700</v>
      </c>
      <c r="E34" s="106">
        <f t="shared" si="23"/>
        <v>0</v>
      </c>
      <c r="F34" s="106">
        <f t="shared" si="23"/>
        <v>0</v>
      </c>
      <c r="G34" s="106">
        <f t="shared" si="23"/>
        <v>0</v>
      </c>
      <c r="H34" s="106">
        <f t="shared" si="23"/>
        <v>0</v>
      </c>
      <c r="I34" s="106">
        <f t="shared" si="23"/>
        <v>0</v>
      </c>
      <c r="J34" s="106">
        <f t="shared" si="23"/>
        <v>0</v>
      </c>
      <c r="K34" s="106">
        <f t="shared" si="23"/>
        <v>700</v>
      </c>
      <c r="L34" s="154"/>
      <c r="M34" s="154"/>
      <c r="N34" s="97"/>
      <c r="O34" s="157"/>
    </row>
    <row r="35" spans="1:17" s="158" customFormat="1" ht="31.5">
      <c r="A35" s="92"/>
      <c r="B35" s="129" t="s">
        <v>140</v>
      </c>
      <c r="C35" s="161"/>
      <c r="D35" s="106">
        <v>700</v>
      </c>
      <c r="E35" s="74">
        <f>SUM(F35:G35)</f>
        <v>0</v>
      </c>
      <c r="F35" s="74">
        <v>0</v>
      </c>
      <c r="G35" s="74">
        <v>0</v>
      </c>
      <c r="H35" s="96"/>
      <c r="I35" s="106">
        <v>0</v>
      </c>
      <c r="J35" s="96"/>
      <c r="K35" s="106">
        <f>D35</f>
        <v>700</v>
      </c>
      <c r="L35" s="154"/>
      <c r="M35" s="154"/>
      <c r="N35" s="97"/>
      <c r="O35" s="157"/>
      <c r="Q35" s="268">
        <v>1</v>
      </c>
    </row>
    <row r="36" spans="1:17" ht="15.75">
      <c r="A36" s="90" t="s">
        <v>96</v>
      </c>
      <c r="B36" s="126" t="s">
        <v>9</v>
      </c>
      <c r="C36" s="165"/>
      <c r="D36" s="127">
        <f>D37+D39</f>
        <v>18430</v>
      </c>
      <c r="E36" s="127">
        <f t="shared" ref="E36:K37" si="24">E37</f>
        <v>14798.752</v>
      </c>
      <c r="F36" s="127">
        <f t="shared" si="24"/>
        <v>14798.752</v>
      </c>
      <c r="G36" s="127">
        <f t="shared" si="24"/>
        <v>0</v>
      </c>
      <c r="H36" s="96"/>
      <c r="I36" s="127">
        <f>I37+I39</f>
        <v>18430</v>
      </c>
      <c r="J36" s="96"/>
      <c r="K36" s="127">
        <f>K37+K39</f>
        <v>18430</v>
      </c>
      <c r="L36" s="154"/>
      <c r="M36" s="154"/>
      <c r="N36" s="97"/>
    </row>
    <row r="37" spans="1:17" ht="15.75">
      <c r="A37" s="90"/>
      <c r="B37" s="126" t="s">
        <v>23</v>
      </c>
      <c r="C37" s="165"/>
      <c r="D37" s="127">
        <f>D38</f>
        <v>18000</v>
      </c>
      <c r="E37" s="127">
        <f t="shared" si="24"/>
        <v>14798.752</v>
      </c>
      <c r="F37" s="127">
        <f t="shared" si="24"/>
        <v>14798.752</v>
      </c>
      <c r="G37" s="127">
        <f t="shared" si="24"/>
        <v>0</v>
      </c>
      <c r="H37" s="96"/>
      <c r="I37" s="127">
        <f>I38</f>
        <v>18000</v>
      </c>
      <c r="J37" s="96"/>
      <c r="K37" s="127">
        <f t="shared" si="24"/>
        <v>18000</v>
      </c>
      <c r="L37" s="154"/>
      <c r="M37" s="154"/>
      <c r="N37" s="97"/>
    </row>
    <row r="38" spans="1:17" s="158" customFormat="1" ht="31.5">
      <c r="A38" s="92">
        <v>1</v>
      </c>
      <c r="B38" s="128" t="s">
        <v>24</v>
      </c>
      <c r="C38" s="161">
        <v>7891902</v>
      </c>
      <c r="D38" s="106">
        <v>18000</v>
      </c>
      <c r="E38" s="74">
        <f>SUM(F38:G38)</f>
        <v>14798.752</v>
      </c>
      <c r="F38" s="74">
        <v>14798.752</v>
      </c>
      <c r="G38" s="74">
        <v>0</v>
      </c>
      <c r="H38" s="102"/>
      <c r="I38" s="106">
        <v>18000</v>
      </c>
      <c r="J38" s="102"/>
      <c r="K38" s="106">
        <f>D38</f>
        <v>18000</v>
      </c>
      <c r="L38" s="156"/>
      <c r="M38" s="156"/>
      <c r="N38" s="130"/>
      <c r="O38" s="157"/>
      <c r="Q38" s="158">
        <v>1</v>
      </c>
    </row>
    <row r="39" spans="1:17" s="167" customFormat="1" ht="15.75">
      <c r="A39" s="90"/>
      <c r="B39" s="126" t="s">
        <v>141</v>
      </c>
      <c r="C39" s="165"/>
      <c r="D39" s="127">
        <f>D40</f>
        <v>430</v>
      </c>
      <c r="E39" s="127">
        <f t="shared" ref="E39:K39" si="25">E40</f>
        <v>0</v>
      </c>
      <c r="F39" s="127">
        <f t="shared" si="25"/>
        <v>0</v>
      </c>
      <c r="G39" s="127">
        <f t="shared" si="25"/>
        <v>0</v>
      </c>
      <c r="H39" s="127"/>
      <c r="I39" s="127">
        <f t="shared" si="25"/>
        <v>430</v>
      </c>
      <c r="J39" s="127">
        <f t="shared" si="25"/>
        <v>0</v>
      </c>
      <c r="K39" s="127">
        <f t="shared" si="25"/>
        <v>430</v>
      </c>
      <c r="L39" s="154"/>
      <c r="M39" s="154"/>
      <c r="N39" s="89"/>
      <c r="O39" s="166"/>
    </row>
    <row r="40" spans="1:17" s="158" customFormat="1" ht="31.5">
      <c r="A40" s="92">
        <v>2</v>
      </c>
      <c r="B40" s="131" t="s">
        <v>43</v>
      </c>
      <c r="C40" s="161"/>
      <c r="D40" s="106">
        <v>430</v>
      </c>
      <c r="E40" s="74">
        <f>SUM(F40:G40)</f>
        <v>0</v>
      </c>
      <c r="F40" s="74">
        <v>0</v>
      </c>
      <c r="G40" s="74">
        <v>0</v>
      </c>
      <c r="H40" s="102"/>
      <c r="I40" s="106">
        <v>430</v>
      </c>
      <c r="J40" s="102"/>
      <c r="K40" s="106">
        <f>D40</f>
        <v>430</v>
      </c>
      <c r="L40" s="156"/>
      <c r="M40" s="73" t="s">
        <v>113</v>
      </c>
      <c r="N40" s="130"/>
      <c r="O40" s="157"/>
      <c r="Q40" s="158">
        <v>1</v>
      </c>
    </row>
    <row r="41" spans="1:17" ht="15.75">
      <c r="A41" s="90" t="s">
        <v>97</v>
      </c>
      <c r="B41" s="126" t="s">
        <v>72</v>
      </c>
      <c r="C41" s="165"/>
      <c r="D41" s="127">
        <f>D42+D45+D47+D49</f>
        <v>8870</v>
      </c>
      <c r="E41" s="127">
        <f t="shared" ref="E41:K41" si="26">E42+E45+E47+E49</f>
        <v>312</v>
      </c>
      <c r="F41" s="127">
        <f t="shared" si="26"/>
        <v>312</v>
      </c>
      <c r="G41" s="127">
        <f t="shared" si="26"/>
        <v>0</v>
      </c>
      <c r="H41" s="127">
        <f t="shared" si="26"/>
        <v>0</v>
      </c>
      <c r="I41" s="127">
        <f>I42+I45+I47+I49</f>
        <v>3312</v>
      </c>
      <c r="J41" s="127">
        <f t="shared" si="26"/>
        <v>0</v>
      </c>
      <c r="K41" s="127">
        <f t="shared" si="26"/>
        <v>8870</v>
      </c>
      <c r="L41" s="181"/>
      <c r="M41" s="181"/>
      <c r="N41" s="130"/>
    </row>
    <row r="42" spans="1:17" ht="15.75">
      <c r="A42" s="90"/>
      <c r="B42" s="126" t="s">
        <v>10</v>
      </c>
      <c r="C42" s="165"/>
      <c r="D42" s="127">
        <f>SUM(D43:D44)</f>
        <v>2112</v>
      </c>
      <c r="E42" s="127">
        <f t="shared" ref="E42:K42" si="27">SUM(E43:E44)</f>
        <v>312</v>
      </c>
      <c r="F42" s="127">
        <f t="shared" si="27"/>
        <v>312</v>
      </c>
      <c r="G42" s="127">
        <f t="shared" si="27"/>
        <v>0</v>
      </c>
      <c r="H42" s="127">
        <f t="shared" si="27"/>
        <v>0</v>
      </c>
      <c r="I42" s="127">
        <f t="shared" si="27"/>
        <v>312</v>
      </c>
      <c r="J42" s="127">
        <f t="shared" si="27"/>
        <v>0</v>
      </c>
      <c r="K42" s="127">
        <f t="shared" si="27"/>
        <v>2112</v>
      </c>
      <c r="L42" s="182"/>
      <c r="M42" s="182"/>
      <c r="N42" s="103"/>
    </row>
    <row r="43" spans="1:17" s="158" customFormat="1" ht="15.75">
      <c r="A43" s="92">
        <v>1</v>
      </c>
      <c r="B43" s="128" t="s">
        <v>13</v>
      </c>
      <c r="C43" s="161">
        <v>7965206</v>
      </c>
      <c r="D43" s="106">
        <v>312</v>
      </c>
      <c r="E43" s="74">
        <f>SUM(F43:G43)</f>
        <v>312</v>
      </c>
      <c r="F43" s="79">
        <v>312</v>
      </c>
      <c r="G43" s="79"/>
      <c r="H43" s="102"/>
      <c r="I43" s="74">
        <f>SUM(J43:K43)</f>
        <v>312</v>
      </c>
      <c r="J43" s="102"/>
      <c r="K43" s="106">
        <f>D43</f>
        <v>312</v>
      </c>
      <c r="L43" s="156"/>
      <c r="M43" s="156"/>
      <c r="N43" s="103"/>
      <c r="O43" s="157"/>
      <c r="Q43" s="268">
        <v>1</v>
      </c>
    </row>
    <row r="44" spans="1:17" s="158" customFormat="1" ht="15.75">
      <c r="A44" s="92">
        <v>2</v>
      </c>
      <c r="B44" s="128" t="s">
        <v>142</v>
      </c>
      <c r="C44" s="161"/>
      <c r="D44" s="106">
        <v>1800</v>
      </c>
      <c r="E44" s="74">
        <f>SUM(F44:G44)</f>
        <v>0</v>
      </c>
      <c r="F44" s="79">
        <v>0</v>
      </c>
      <c r="G44" s="79"/>
      <c r="H44" s="102"/>
      <c r="I44" s="106">
        <v>0</v>
      </c>
      <c r="J44" s="102"/>
      <c r="K44" s="106">
        <f>D44</f>
        <v>1800</v>
      </c>
      <c r="L44" s="156"/>
      <c r="M44" s="183" t="s">
        <v>158</v>
      </c>
      <c r="N44" s="103"/>
      <c r="O44" s="157"/>
      <c r="Q44" s="158">
        <v>1</v>
      </c>
    </row>
    <row r="45" spans="1:17" s="158" customFormat="1" ht="15.75">
      <c r="A45" s="92"/>
      <c r="B45" s="126" t="s">
        <v>11</v>
      </c>
      <c r="C45" s="161"/>
      <c r="D45" s="127">
        <f>D46</f>
        <v>1758</v>
      </c>
      <c r="E45" s="127">
        <f t="shared" ref="E45:K45" si="28">E46</f>
        <v>0</v>
      </c>
      <c r="F45" s="127">
        <f t="shared" si="28"/>
        <v>0</v>
      </c>
      <c r="G45" s="127">
        <f t="shared" si="28"/>
        <v>0</v>
      </c>
      <c r="H45" s="127">
        <f t="shared" si="28"/>
        <v>0</v>
      </c>
      <c r="I45" s="127">
        <f t="shared" si="28"/>
        <v>1000</v>
      </c>
      <c r="J45" s="127">
        <f t="shared" si="28"/>
        <v>0</v>
      </c>
      <c r="K45" s="127">
        <f t="shared" si="28"/>
        <v>1758</v>
      </c>
      <c r="L45" s="156"/>
      <c r="M45" s="156"/>
      <c r="N45" s="103"/>
      <c r="O45" s="157"/>
    </row>
    <row r="46" spans="1:17" s="158" customFormat="1" ht="31.5">
      <c r="A46" s="92"/>
      <c r="B46" s="128" t="s">
        <v>143</v>
      </c>
      <c r="C46" s="161"/>
      <c r="D46" s="106">
        <v>1758</v>
      </c>
      <c r="E46" s="74">
        <f>SUM(F46:G46)</f>
        <v>0</v>
      </c>
      <c r="F46" s="79">
        <v>0</v>
      </c>
      <c r="G46" s="79"/>
      <c r="H46" s="102"/>
      <c r="I46" s="106">
        <v>1000</v>
      </c>
      <c r="J46" s="102"/>
      <c r="K46" s="106">
        <f>D46</f>
        <v>1758</v>
      </c>
      <c r="L46" s="156"/>
      <c r="M46" s="269" t="s">
        <v>201</v>
      </c>
      <c r="N46" s="103"/>
      <c r="O46" s="157"/>
      <c r="Q46" s="158">
        <v>1</v>
      </c>
    </row>
    <row r="47" spans="1:17" s="158" customFormat="1" ht="15.75">
      <c r="A47" s="92"/>
      <c r="B47" s="126" t="s">
        <v>23</v>
      </c>
      <c r="C47" s="161"/>
      <c r="D47" s="127">
        <f>D48</f>
        <v>3000</v>
      </c>
      <c r="E47" s="127">
        <f t="shared" ref="E47:K47" si="29">E48</f>
        <v>0</v>
      </c>
      <c r="F47" s="127">
        <f t="shared" si="29"/>
        <v>0</v>
      </c>
      <c r="G47" s="127">
        <f t="shared" si="29"/>
        <v>0</v>
      </c>
      <c r="H47" s="127">
        <f t="shared" si="29"/>
        <v>0</v>
      </c>
      <c r="I47" s="127">
        <f t="shared" si="29"/>
        <v>1500</v>
      </c>
      <c r="J47" s="127">
        <f t="shared" si="29"/>
        <v>0</v>
      </c>
      <c r="K47" s="127">
        <f t="shared" si="29"/>
        <v>3000</v>
      </c>
      <c r="L47" s="156"/>
      <c r="M47" s="237"/>
      <c r="N47" s="103"/>
      <c r="O47" s="157"/>
    </row>
    <row r="48" spans="1:17" s="158" customFormat="1" ht="15.75">
      <c r="A48" s="92"/>
      <c r="B48" s="128" t="s">
        <v>117</v>
      </c>
      <c r="C48" s="161"/>
      <c r="D48" s="106">
        <v>3000</v>
      </c>
      <c r="E48" s="74">
        <f>SUM(F48:G48)</f>
        <v>0</v>
      </c>
      <c r="F48" s="79">
        <v>0</v>
      </c>
      <c r="G48" s="79"/>
      <c r="H48" s="102"/>
      <c r="I48" s="106">
        <v>1500</v>
      </c>
      <c r="J48" s="102"/>
      <c r="K48" s="106">
        <f>D48</f>
        <v>3000</v>
      </c>
      <c r="L48" s="156"/>
      <c r="M48" s="248" t="s">
        <v>112</v>
      </c>
      <c r="N48" s="103"/>
      <c r="O48" s="157"/>
      <c r="Q48" s="158">
        <v>1</v>
      </c>
    </row>
    <row r="49" spans="1:17" s="158" customFormat="1" ht="15.75">
      <c r="A49" s="92"/>
      <c r="B49" s="126" t="s">
        <v>144</v>
      </c>
      <c r="C49" s="161"/>
      <c r="D49" s="127">
        <f>D50</f>
        <v>2000</v>
      </c>
      <c r="E49" s="127">
        <f t="shared" ref="E49:K49" si="30">E50</f>
        <v>0</v>
      </c>
      <c r="F49" s="127">
        <f t="shared" si="30"/>
        <v>0</v>
      </c>
      <c r="G49" s="127">
        <f t="shared" si="30"/>
        <v>0</v>
      </c>
      <c r="H49" s="127">
        <f t="shared" si="30"/>
        <v>0</v>
      </c>
      <c r="I49" s="127">
        <f t="shared" si="30"/>
        <v>500</v>
      </c>
      <c r="J49" s="127">
        <f t="shared" si="30"/>
        <v>0</v>
      </c>
      <c r="K49" s="127">
        <f t="shared" si="30"/>
        <v>2000</v>
      </c>
      <c r="L49" s="156"/>
      <c r="M49" s="237"/>
      <c r="N49" s="103"/>
      <c r="O49" s="157"/>
    </row>
    <row r="50" spans="1:17" s="158" customFormat="1" ht="31.5">
      <c r="A50" s="92"/>
      <c r="B50" s="128" t="s">
        <v>145</v>
      </c>
      <c r="C50" s="161"/>
      <c r="D50" s="106">
        <v>2000</v>
      </c>
      <c r="E50" s="74">
        <f>SUM(F50:G50)</f>
        <v>0</v>
      </c>
      <c r="F50" s="79">
        <v>0</v>
      </c>
      <c r="G50" s="79"/>
      <c r="H50" s="102"/>
      <c r="I50" s="106">
        <v>500</v>
      </c>
      <c r="J50" s="102"/>
      <c r="K50" s="106">
        <f>D50</f>
        <v>2000</v>
      </c>
      <c r="L50" s="156"/>
      <c r="M50" s="248" t="s">
        <v>202</v>
      </c>
      <c r="N50" s="103"/>
      <c r="O50" s="157"/>
      <c r="Q50" s="158">
        <v>1</v>
      </c>
    </row>
    <row r="51" spans="1:17" ht="15.75">
      <c r="A51" s="90">
        <v>2</v>
      </c>
      <c r="B51" s="126" t="s">
        <v>36</v>
      </c>
      <c r="C51" s="165"/>
      <c r="D51" s="127">
        <f>D52+D69+D81</f>
        <v>270000</v>
      </c>
      <c r="E51" s="127">
        <f>E52+E69+E81</f>
        <v>164328.65159999998</v>
      </c>
      <c r="F51" s="127">
        <f>F52+F69+F81</f>
        <v>59302.880850000001</v>
      </c>
      <c r="G51" s="127">
        <f>G52+G69+G81</f>
        <v>105025.77075</v>
      </c>
      <c r="H51" s="96">
        <f>E51/D51</f>
        <v>0.60862463555555546</v>
      </c>
      <c r="I51" s="127">
        <f>I52+I69+I81</f>
        <v>215023.53</v>
      </c>
      <c r="J51" s="96">
        <f>I51/D51</f>
        <v>0.79638344444444442</v>
      </c>
      <c r="K51" s="127">
        <f>K52+K69+K81</f>
        <v>270000</v>
      </c>
      <c r="L51" s="154">
        <f t="shared" ref="L51" si="31">K51/D51</f>
        <v>1</v>
      </c>
      <c r="M51" s="154"/>
      <c r="N51" s="103"/>
    </row>
    <row r="52" spans="1:17" ht="31.5">
      <c r="A52" s="90" t="s">
        <v>98</v>
      </c>
      <c r="B52" s="126" t="s">
        <v>15</v>
      </c>
      <c r="C52" s="165"/>
      <c r="D52" s="127">
        <f>D53+D67</f>
        <v>17300</v>
      </c>
      <c r="E52" s="127">
        <f t="shared" ref="E52:G52" si="32">E53+E67</f>
        <v>13799.806</v>
      </c>
      <c r="F52" s="127">
        <f t="shared" si="32"/>
        <v>13799.806</v>
      </c>
      <c r="G52" s="127">
        <f t="shared" si="32"/>
        <v>0</v>
      </c>
      <c r="H52" s="96"/>
      <c r="I52" s="127">
        <f>I53+I67</f>
        <v>16023.53</v>
      </c>
      <c r="J52" s="96"/>
      <c r="K52" s="127">
        <f>K53+K67</f>
        <v>17300</v>
      </c>
      <c r="L52" s="154"/>
      <c r="M52" s="154"/>
      <c r="N52" s="97"/>
    </row>
    <row r="53" spans="1:17" ht="15.75">
      <c r="A53" s="90"/>
      <c r="B53" s="126" t="s">
        <v>16</v>
      </c>
      <c r="C53" s="165"/>
      <c r="D53" s="127">
        <f>D54+D65</f>
        <v>3100</v>
      </c>
      <c r="E53" s="127">
        <f t="shared" ref="E53:G53" si="33">E54+E65</f>
        <v>1508.806</v>
      </c>
      <c r="F53" s="127">
        <f t="shared" si="33"/>
        <v>1508.806</v>
      </c>
      <c r="G53" s="127">
        <f t="shared" si="33"/>
        <v>0</v>
      </c>
      <c r="H53" s="127">
        <f t="shared" ref="H53:K53" si="34">H54+H65</f>
        <v>0</v>
      </c>
      <c r="I53" s="127">
        <f>I54+I65</f>
        <v>1823.53</v>
      </c>
      <c r="J53" s="127">
        <f t="shared" si="34"/>
        <v>0</v>
      </c>
      <c r="K53" s="127">
        <f t="shared" si="34"/>
        <v>3100</v>
      </c>
      <c r="L53" s="156"/>
      <c r="M53" s="156"/>
      <c r="N53" s="130"/>
    </row>
    <row r="54" spans="1:17" ht="63">
      <c r="A54" s="92">
        <v>1</v>
      </c>
      <c r="B54" s="128" t="s">
        <v>17</v>
      </c>
      <c r="C54" s="161"/>
      <c r="D54" s="106">
        <f>D55+D56</f>
        <v>2400</v>
      </c>
      <c r="E54" s="106">
        <f t="shared" ref="E54:G54" si="35">E55+E56</f>
        <v>1508.806</v>
      </c>
      <c r="F54" s="106">
        <f t="shared" si="35"/>
        <v>1508.806</v>
      </c>
      <c r="G54" s="106">
        <f t="shared" si="35"/>
        <v>0</v>
      </c>
      <c r="H54" s="96"/>
      <c r="I54" s="106">
        <f>I55+I56</f>
        <v>1823.53</v>
      </c>
      <c r="J54" s="96"/>
      <c r="K54" s="79">
        <f>D54</f>
        <v>2400</v>
      </c>
      <c r="L54" s="154"/>
      <c r="M54" s="154"/>
      <c r="N54" s="89"/>
      <c r="P54" s="147">
        <v>1</v>
      </c>
    </row>
    <row r="55" spans="1:17" s="158" customFormat="1" ht="15.75">
      <c r="A55" s="92" t="s">
        <v>93</v>
      </c>
      <c r="B55" s="128" t="s">
        <v>146</v>
      </c>
      <c r="C55" s="161"/>
      <c r="D55" s="106">
        <v>576.47</v>
      </c>
      <c r="E55" s="74"/>
      <c r="F55" s="134"/>
      <c r="G55" s="134"/>
      <c r="H55" s="96"/>
      <c r="I55" s="106">
        <v>0</v>
      </c>
      <c r="J55" s="96"/>
      <c r="K55" s="106">
        <f>D55</f>
        <v>576.47</v>
      </c>
      <c r="L55" s="154"/>
      <c r="M55" s="154"/>
      <c r="N55" s="89"/>
      <c r="O55" s="157"/>
    </row>
    <row r="56" spans="1:17" s="158" customFormat="1" ht="15.75">
      <c r="A56" s="92" t="s">
        <v>96</v>
      </c>
      <c r="B56" s="128" t="s">
        <v>147</v>
      </c>
      <c r="C56" s="161"/>
      <c r="D56" s="106">
        <f>SUM(D57:D64)</f>
        <v>1823.53</v>
      </c>
      <c r="E56" s="106">
        <f t="shared" ref="E56:G56" si="36">SUM(E57:E64)</f>
        <v>1508.806</v>
      </c>
      <c r="F56" s="106">
        <f t="shared" si="36"/>
        <v>1508.806</v>
      </c>
      <c r="G56" s="106">
        <f t="shared" si="36"/>
        <v>0</v>
      </c>
      <c r="H56" s="106"/>
      <c r="I56" s="106">
        <f>SUM(I57:I64)</f>
        <v>1823.53</v>
      </c>
      <c r="J56" s="96"/>
      <c r="K56" s="106">
        <f>D56</f>
        <v>1823.53</v>
      </c>
      <c r="L56" s="154"/>
      <c r="M56" s="154"/>
      <c r="N56" s="89"/>
      <c r="O56" s="157"/>
    </row>
    <row r="57" spans="1:17" s="158" customFormat="1" ht="31.5">
      <c r="A57" s="92"/>
      <c r="B57" s="129" t="s">
        <v>148</v>
      </c>
      <c r="C57" s="161"/>
      <c r="D57" s="77">
        <v>381.08</v>
      </c>
      <c r="E57" s="74">
        <f t="shared" ref="E57:E64" si="37">SUM(F57:G57)</f>
        <v>381.08</v>
      </c>
      <c r="F57" s="77">
        <v>381.08</v>
      </c>
      <c r="G57" s="74"/>
      <c r="H57" s="102"/>
      <c r="I57" s="77">
        <v>381.08</v>
      </c>
      <c r="J57" s="102"/>
      <c r="K57" s="79">
        <f t="shared" ref="K57:K64" si="38">D57</f>
        <v>381.08</v>
      </c>
      <c r="L57" s="154"/>
      <c r="M57" s="154"/>
      <c r="N57" s="89"/>
      <c r="O57" s="157"/>
    </row>
    <row r="58" spans="1:17" s="158" customFormat="1" ht="31.5">
      <c r="A58" s="92"/>
      <c r="B58" s="129" t="s">
        <v>149</v>
      </c>
      <c r="C58" s="161"/>
      <c r="D58" s="77">
        <v>803.01700000000005</v>
      </c>
      <c r="E58" s="74">
        <f t="shared" si="37"/>
        <v>803.01700000000005</v>
      </c>
      <c r="F58" s="77">
        <v>803.01700000000005</v>
      </c>
      <c r="G58" s="74"/>
      <c r="H58" s="102"/>
      <c r="I58" s="77">
        <v>803.01700000000005</v>
      </c>
      <c r="J58" s="102"/>
      <c r="K58" s="79">
        <f t="shared" si="38"/>
        <v>803.01700000000005</v>
      </c>
      <c r="L58" s="154"/>
      <c r="M58" s="154"/>
      <c r="N58" s="89"/>
      <c r="O58" s="157"/>
    </row>
    <row r="59" spans="1:17" s="158" customFormat="1" ht="63">
      <c r="A59" s="92"/>
      <c r="B59" s="129" t="s">
        <v>150</v>
      </c>
      <c r="C59" s="161"/>
      <c r="D59" s="77">
        <v>26.914000000000001</v>
      </c>
      <c r="E59" s="74">
        <f t="shared" si="37"/>
        <v>0</v>
      </c>
      <c r="F59" s="74"/>
      <c r="G59" s="74"/>
      <c r="H59" s="102"/>
      <c r="I59" s="77">
        <v>26.914000000000001</v>
      </c>
      <c r="J59" s="102"/>
      <c r="K59" s="79">
        <f t="shared" si="38"/>
        <v>26.914000000000001</v>
      </c>
      <c r="L59" s="154"/>
      <c r="M59" s="154"/>
      <c r="N59" s="89"/>
      <c r="O59" s="157"/>
    </row>
    <row r="60" spans="1:17" s="158" customFormat="1" ht="47.25">
      <c r="A60" s="92"/>
      <c r="B60" s="129" t="s">
        <v>151</v>
      </c>
      <c r="C60" s="161"/>
      <c r="D60" s="77">
        <v>65.483000000000004</v>
      </c>
      <c r="E60" s="74">
        <f t="shared" si="37"/>
        <v>0</v>
      </c>
      <c r="F60" s="74"/>
      <c r="G60" s="74"/>
      <c r="H60" s="102"/>
      <c r="I60" s="77">
        <v>65.483000000000004</v>
      </c>
      <c r="J60" s="102"/>
      <c r="K60" s="79">
        <f t="shared" si="38"/>
        <v>65.483000000000004</v>
      </c>
      <c r="L60" s="154"/>
      <c r="M60" s="154"/>
      <c r="N60" s="89"/>
      <c r="O60" s="157"/>
    </row>
    <row r="61" spans="1:17" s="158" customFormat="1" ht="31.5">
      <c r="A61" s="92"/>
      <c r="B61" s="129" t="s">
        <v>152</v>
      </c>
      <c r="C61" s="161"/>
      <c r="D61" s="77">
        <v>157.97</v>
      </c>
      <c r="E61" s="74">
        <f t="shared" si="37"/>
        <v>0</v>
      </c>
      <c r="F61" s="74"/>
      <c r="G61" s="74"/>
      <c r="H61" s="102"/>
      <c r="I61" s="77">
        <v>157.97</v>
      </c>
      <c r="J61" s="102"/>
      <c r="K61" s="79">
        <f t="shared" si="38"/>
        <v>157.97</v>
      </c>
      <c r="L61" s="154"/>
      <c r="M61" s="154"/>
      <c r="N61" s="89"/>
      <c r="O61" s="157"/>
    </row>
    <row r="62" spans="1:17" s="158" customFormat="1" ht="47.25">
      <c r="A62" s="92"/>
      <c r="B62" s="129" t="s">
        <v>153</v>
      </c>
      <c r="C62" s="161"/>
      <c r="D62" s="77">
        <v>135.24700000000001</v>
      </c>
      <c r="E62" s="74">
        <f t="shared" si="37"/>
        <v>135.24700000000001</v>
      </c>
      <c r="F62" s="77">
        <v>135.24700000000001</v>
      </c>
      <c r="G62" s="74"/>
      <c r="H62" s="102"/>
      <c r="I62" s="77">
        <v>135.24700000000001</v>
      </c>
      <c r="J62" s="102"/>
      <c r="K62" s="79">
        <f t="shared" si="38"/>
        <v>135.24700000000001</v>
      </c>
      <c r="L62" s="154"/>
      <c r="M62" s="154"/>
      <c r="N62" s="89"/>
      <c r="O62" s="157"/>
    </row>
    <row r="63" spans="1:17" s="158" customFormat="1" ht="31.5">
      <c r="A63" s="92"/>
      <c r="B63" s="129" t="s">
        <v>154</v>
      </c>
      <c r="C63" s="161"/>
      <c r="D63" s="77">
        <v>189.46199999999999</v>
      </c>
      <c r="E63" s="74">
        <f t="shared" si="37"/>
        <v>189.46199999999999</v>
      </c>
      <c r="F63" s="77">
        <v>189.46199999999999</v>
      </c>
      <c r="G63" s="74"/>
      <c r="H63" s="102"/>
      <c r="I63" s="77">
        <v>189.46199999999999</v>
      </c>
      <c r="J63" s="102"/>
      <c r="K63" s="79">
        <f t="shared" si="38"/>
        <v>189.46199999999999</v>
      </c>
      <c r="L63" s="154"/>
      <c r="M63" s="154"/>
      <c r="N63" s="89"/>
      <c r="O63" s="157"/>
    </row>
    <row r="64" spans="1:17" s="158" customFormat="1" ht="15.75">
      <c r="A64" s="92"/>
      <c r="B64" s="129" t="s">
        <v>155</v>
      </c>
      <c r="C64" s="161"/>
      <c r="D64" s="77">
        <v>64.356999999999999</v>
      </c>
      <c r="E64" s="74">
        <f t="shared" si="37"/>
        <v>0</v>
      </c>
      <c r="F64" s="74"/>
      <c r="G64" s="74"/>
      <c r="H64" s="102"/>
      <c r="I64" s="77">
        <v>64.356999999999999</v>
      </c>
      <c r="J64" s="102"/>
      <c r="K64" s="79">
        <f t="shared" si="38"/>
        <v>64.356999999999999</v>
      </c>
      <c r="L64" s="154"/>
      <c r="M64" s="154"/>
      <c r="N64" s="89"/>
      <c r="O64" s="157"/>
    </row>
    <row r="65" spans="1:17" s="158" customFormat="1" ht="31.5">
      <c r="A65" s="92">
        <v>2</v>
      </c>
      <c r="B65" s="128" t="s">
        <v>18</v>
      </c>
      <c r="C65" s="161"/>
      <c r="D65" s="106">
        <f>D66</f>
        <v>700</v>
      </c>
      <c r="E65" s="74">
        <f>SUM(F65:G65)</f>
        <v>0</v>
      </c>
      <c r="F65" s="74"/>
      <c r="G65" s="74"/>
      <c r="H65" s="102"/>
      <c r="I65" s="74">
        <f>I66</f>
        <v>0</v>
      </c>
      <c r="J65" s="102"/>
      <c r="K65" s="79">
        <f>D65</f>
        <v>700</v>
      </c>
      <c r="L65" s="156"/>
      <c r="M65" s="156"/>
      <c r="N65" s="103"/>
      <c r="O65" s="157"/>
      <c r="P65" s="158">
        <v>1</v>
      </c>
    </row>
    <row r="66" spans="1:17" s="158" customFormat="1" ht="31.5">
      <c r="A66" s="92"/>
      <c r="B66" s="135" t="s">
        <v>156</v>
      </c>
      <c r="C66" s="161"/>
      <c r="D66" s="106">
        <v>700</v>
      </c>
      <c r="E66" s="74">
        <f>SUM(F66:G66)</f>
        <v>0</v>
      </c>
      <c r="F66" s="74"/>
      <c r="G66" s="74"/>
      <c r="H66" s="102"/>
      <c r="I66" s="74">
        <v>0</v>
      </c>
      <c r="J66" s="102"/>
      <c r="K66" s="79">
        <f>D66</f>
        <v>700</v>
      </c>
      <c r="L66" s="156"/>
      <c r="M66" s="156"/>
      <c r="N66" s="103"/>
      <c r="O66" s="157"/>
      <c r="Q66" s="268">
        <v>1</v>
      </c>
    </row>
    <row r="67" spans="1:17" ht="15.75">
      <c r="A67" s="90"/>
      <c r="B67" s="126" t="s">
        <v>19</v>
      </c>
      <c r="C67" s="165"/>
      <c r="D67" s="127">
        <f t="shared" ref="D67:K67" si="39">SUM(D68)</f>
        <v>14200</v>
      </c>
      <c r="E67" s="127">
        <f t="shared" si="39"/>
        <v>12291</v>
      </c>
      <c r="F67" s="127">
        <f t="shared" si="39"/>
        <v>12291</v>
      </c>
      <c r="G67" s="127">
        <f t="shared" si="39"/>
        <v>0</v>
      </c>
      <c r="H67" s="102"/>
      <c r="I67" s="127">
        <f t="shared" si="39"/>
        <v>14200</v>
      </c>
      <c r="J67" s="102"/>
      <c r="K67" s="127">
        <f t="shared" si="39"/>
        <v>14200</v>
      </c>
      <c r="L67" s="156"/>
      <c r="M67" s="156"/>
      <c r="N67" s="103"/>
    </row>
    <row r="68" spans="1:17" ht="157.5">
      <c r="A68" s="92">
        <v>1</v>
      </c>
      <c r="B68" s="128" t="s">
        <v>20</v>
      </c>
      <c r="C68" s="161"/>
      <c r="D68" s="106">
        <v>14200</v>
      </c>
      <c r="E68" s="74">
        <f>SUM(F68:G68)</f>
        <v>12291</v>
      </c>
      <c r="F68" s="74">
        <v>12291</v>
      </c>
      <c r="G68" s="74">
        <v>0</v>
      </c>
      <c r="H68" s="96"/>
      <c r="I68" s="79">
        <v>14200</v>
      </c>
      <c r="J68" s="96"/>
      <c r="K68" s="79">
        <f>D68</f>
        <v>14200</v>
      </c>
      <c r="L68" s="154"/>
      <c r="M68" s="248" t="s">
        <v>203</v>
      </c>
      <c r="N68" s="89"/>
      <c r="O68" s="146">
        <v>1</v>
      </c>
      <c r="P68" s="147">
        <v>1</v>
      </c>
      <c r="Q68" s="146">
        <v>1</v>
      </c>
    </row>
    <row r="69" spans="1:17" ht="15.75">
      <c r="A69" s="90" t="s">
        <v>99</v>
      </c>
      <c r="B69" s="126" t="s">
        <v>9</v>
      </c>
      <c r="C69" s="165"/>
      <c r="D69" s="127">
        <f>D70+D77</f>
        <v>217800</v>
      </c>
      <c r="E69" s="127">
        <f>E70+E77</f>
        <v>125336.64</v>
      </c>
      <c r="F69" s="127">
        <f>F70+F77</f>
        <v>43017.448850000001</v>
      </c>
      <c r="G69" s="127">
        <f>G70+G77</f>
        <v>82319.191149999999</v>
      </c>
      <c r="H69" s="102"/>
      <c r="I69" s="127">
        <f>I70+I77</f>
        <v>186200</v>
      </c>
      <c r="J69" s="102"/>
      <c r="K69" s="127">
        <f>K70+K77</f>
        <v>217800</v>
      </c>
      <c r="L69" s="156"/>
      <c r="M69" s="156"/>
      <c r="N69" s="130"/>
      <c r="Q69" s="163"/>
    </row>
    <row r="70" spans="1:17" ht="15.75">
      <c r="A70" s="90"/>
      <c r="B70" s="126" t="s">
        <v>11</v>
      </c>
      <c r="C70" s="165"/>
      <c r="D70" s="127">
        <f>SUM(D71:D76)</f>
        <v>204000</v>
      </c>
      <c r="E70" s="127">
        <f>SUM(E71:E76)</f>
        <v>111907.54300000001</v>
      </c>
      <c r="F70" s="127">
        <f>SUM(F71:F76)</f>
        <v>30898.33785</v>
      </c>
      <c r="G70" s="127">
        <f>SUM(G71:G76)</f>
        <v>81009.205149999994</v>
      </c>
      <c r="H70" s="96"/>
      <c r="I70" s="127">
        <f>SUM(I71:I76)</f>
        <v>172400</v>
      </c>
      <c r="J70" s="96"/>
      <c r="K70" s="127">
        <f>SUM(K71:K76)</f>
        <v>204000</v>
      </c>
      <c r="L70" s="154"/>
      <c r="M70" s="154"/>
      <c r="N70" s="136"/>
      <c r="Q70" s="267"/>
    </row>
    <row r="71" spans="1:17" ht="15.75">
      <c r="A71" s="92">
        <v>1</v>
      </c>
      <c r="B71" s="128" t="s">
        <v>22</v>
      </c>
      <c r="C71" s="161"/>
      <c r="D71" s="106">
        <v>1000</v>
      </c>
      <c r="E71" s="74">
        <f>SUM(F71:G71)</f>
        <v>0</v>
      </c>
      <c r="F71" s="184">
        <v>0</v>
      </c>
      <c r="G71" s="184">
        <v>0</v>
      </c>
      <c r="H71" s="96"/>
      <c r="I71" s="79">
        <v>500</v>
      </c>
      <c r="J71" s="96"/>
      <c r="K71" s="79">
        <f>D71</f>
        <v>1000</v>
      </c>
      <c r="L71" s="154"/>
      <c r="M71" s="154"/>
      <c r="N71" s="137"/>
      <c r="Q71" s="267">
        <v>1</v>
      </c>
    </row>
    <row r="72" spans="1:17" ht="15.75">
      <c r="A72" s="92">
        <v>2</v>
      </c>
      <c r="B72" s="128" t="s">
        <v>40</v>
      </c>
      <c r="C72" s="161"/>
      <c r="D72" s="106">
        <v>1000</v>
      </c>
      <c r="E72" s="74">
        <f>SUM(F72:G72)</f>
        <v>0</v>
      </c>
      <c r="F72" s="78">
        <v>0</v>
      </c>
      <c r="G72" s="78">
        <v>0</v>
      </c>
      <c r="H72" s="133"/>
      <c r="I72" s="79">
        <v>500</v>
      </c>
      <c r="J72" s="133"/>
      <c r="K72" s="79">
        <f t="shared" ref="K72:K76" si="40">D72</f>
        <v>1000</v>
      </c>
      <c r="L72" s="182"/>
      <c r="M72" s="182"/>
      <c r="N72" s="103"/>
      <c r="Q72" s="146">
        <v>1</v>
      </c>
    </row>
    <row r="73" spans="1:17" s="158" customFormat="1" ht="15.75">
      <c r="A73" s="92">
        <v>3</v>
      </c>
      <c r="B73" s="128" t="s">
        <v>20</v>
      </c>
      <c r="C73" s="161"/>
      <c r="D73" s="106">
        <v>77000</v>
      </c>
      <c r="E73" s="74">
        <f t="shared" ref="E73:E74" si="41">SUM(F73:G73)</f>
        <v>87.213999999999999</v>
      </c>
      <c r="F73" s="74">
        <v>0</v>
      </c>
      <c r="G73" s="74">
        <v>87.213999999999999</v>
      </c>
      <c r="H73" s="138"/>
      <c r="I73" s="79">
        <v>52400</v>
      </c>
      <c r="J73" s="138"/>
      <c r="K73" s="79">
        <f t="shared" si="40"/>
        <v>77000</v>
      </c>
      <c r="L73" s="182"/>
      <c r="M73" s="182"/>
      <c r="N73" s="103"/>
      <c r="O73" s="157"/>
      <c r="Q73" s="157">
        <v>1</v>
      </c>
    </row>
    <row r="74" spans="1:17" s="158" customFormat="1" ht="112.5" customHeight="1">
      <c r="A74" s="92">
        <v>4</v>
      </c>
      <c r="B74" s="128" t="s">
        <v>157</v>
      </c>
      <c r="C74" s="161"/>
      <c r="D74" s="106">
        <v>31000</v>
      </c>
      <c r="E74" s="74">
        <f t="shared" si="41"/>
        <v>22713.665000000001</v>
      </c>
      <c r="F74" s="74">
        <v>0</v>
      </c>
      <c r="G74" s="185">
        <v>22713.665000000001</v>
      </c>
      <c r="H74" s="138"/>
      <c r="I74" s="79">
        <v>28000</v>
      </c>
      <c r="J74" s="138"/>
      <c r="K74" s="79">
        <f t="shared" si="40"/>
        <v>31000</v>
      </c>
      <c r="L74" s="182"/>
      <c r="M74" s="73" t="s">
        <v>163</v>
      </c>
      <c r="N74" s="103"/>
      <c r="O74" s="157"/>
      <c r="Q74" s="157">
        <v>1</v>
      </c>
    </row>
    <row r="75" spans="1:17" ht="31.5">
      <c r="A75" s="92">
        <v>5</v>
      </c>
      <c r="B75" s="105" t="s">
        <v>73</v>
      </c>
      <c r="C75" s="161"/>
      <c r="D75" s="106">
        <v>40000</v>
      </c>
      <c r="E75" s="74">
        <f>SUM(F75:G75)</f>
        <v>35106.663999999997</v>
      </c>
      <c r="F75" s="74">
        <v>13301.511302999999</v>
      </c>
      <c r="G75" s="74">
        <f>16476.749697+5328.403</f>
        <v>21805.152696999998</v>
      </c>
      <c r="H75" s="138"/>
      <c r="I75" s="79">
        <v>37000</v>
      </c>
      <c r="J75" s="138"/>
      <c r="K75" s="79">
        <f t="shared" si="40"/>
        <v>40000</v>
      </c>
      <c r="L75" s="186"/>
      <c r="M75" s="186"/>
      <c r="N75" s="103" t="s">
        <v>87</v>
      </c>
      <c r="O75" s="146">
        <v>1</v>
      </c>
      <c r="Q75" s="163">
        <v>1</v>
      </c>
    </row>
    <row r="76" spans="1:17" ht="47.25">
      <c r="A76" s="92">
        <v>6</v>
      </c>
      <c r="B76" s="128" t="s">
        <v>26</v>
      </c>
      <c r="C76" s="161"/>
      <c r="D76" s="106">
        <v>54000</v>
      </c>
      <c r="E76" s="74">
        <f>SUM(F76:G76)</f>
        <v>54000</v>
      </c>
      <c r="F76" s="74">
        <v>17596.826547000001</v>
      </c>
      <c r="G76" s="74">
        <v>36403.173452999996</v>
      </c>
      <c r="H76" s="102"/>
      <c r="I76" s="74">
        <f>SUM(J76:K76)</f>
        <v>54000</v>
      </c>
      <c r="J76" s="102"/>
      <c r="K76" s="79">
        <f t="shared" si="40"/>
        <v>54000</v>
      </c>
      <c r="L76" s="102"/>
      <c r="M76" s="102"/>
      <c r="N76" s="103" t="s">
        <v>87</v>
      </c>
      <c r="O76" s="146">
        <v>1</v>
      </c>
      <c r="Q76" s="147">
        <v>1</v>
      </c>
    </row>
    <row r="77" spans="1:17" ht="15.75">
      <c r="A77" s="90"/>
      <c r="B77" s="126" t="s">
        <v>23</v>
      </c>
      <c r="C77" s="165"/>
      <c r="D77" s="127">
        <f t="shared" ref="D77:K77" si="42">SUM(D78:D80)</f>
        <v>13800</v>
      </c>
      <c r="E77" s="127">
        <f t="shared" si="42"/>
        <v>13429.097</v>
      </c>
      <c r="F77" s="127">
        <f t="shared" si="42"/>
        <v>12119.110999999999</v>
      </c>
      <c r="G77" s="127">
        <f t="shared" si="42"/>
        <v>1309.9860000000001</v>
      </c>
      <c r="H77" s="102"/>
      <c r="I77" s="127">
        <f t="shared" ref="I77" si="43">SUM(I78:I80)</f>
        <v>13800</v>
      </c>
      <c r="J77" s="102"/>
      <c r="K77" s="127">
        <f t="shared" si="42"/>
        <v>13800</v>
      </c>
      <c r="L77" s="102"/>
      <c r="M77" s="102"/>
      <c r="N77" s="103"/>
    </row>
    <row r="78" spans="1:17" s="158" customFormat="1" ht="31.5" hidden="1">
      <c r="A78" s="92">
        <v>1</v>
      </c>
      <c r="B78" s="128" t="s">
        <v>74</v>
      </c>
      <c r="C78" s="161"/>
      <c r="D78" s="106">
        <v>0</v>
      </c>
      <c r="E78" s="74">
        <f>SUM(F78:G78)</f>
        <v>0</v>
      </c>
      <c r="F78" s="74"/>
      <c r="G78" s="74"/>
      <c r="H78" s="102"/>
      <c r="I78" s="79">
        <v>0</v>
      </c>
      <c r="J78" s="102"/>
      <c r="K78" s="79">
        <f>D78</f>
        <v>0</v>
      </c>
      <c r="L78" s="102"/>
      <c r="M78" s="102"/>
      <c r="N78" s="103"/>
      <c r="O78" s="157"/>
    </row>
    <row r="79" spans="1:17" ht="31.5">
      <c r="A79" s="92">
        <v>1</v>
      </c>
      <c r="B79" s="128" t="s">
        <v>24</v>
      </c>
      <c r="C79" s="161"/>
      <c r="D79" s="106">
        <v>1000</v>
      </c>
      <c r="E79" s="74">
        <f>SUM(F79:G79)</f>
        <v>707.58600000000001</v>
      </c>
      <c r="F79" s="74">
        <v>707.58600000000001</v>
      </c>
      <c r="G79" s="74"/>
      <c r="H79" s="102"/>
      <c r="I79" s="79">
        <v>1000</v>
      </c>
      <c r="J79" s="102"/>
      <c r="K79" s="79">
        <f t="shared" ref="K79:K80" si="44">D79</f>
        <v>1000</v>
      </c>
      <c r="L79" s="102"/>
      <c r="M79" s="102"/>
      <c r="N79" s="103"/>
      <c r="Q79" s="147">
        <v>1</v>
      </c>
    </row>
    <row r="80" spans="1:17" s="158" customFormat="1" ht="31.5">
      <c r="A80" s="92">
        <v>2</v>
      </c>
      <c r="B80" s="128" t="s">
        <v>21</v>
      </c>
      <c r="C80" s="161"/>
      <c r="D80" s="106">
        <v>12800</v>
      </c>
      <c r="E80" s="74">
        <f>SUM(F80:G80)</f>
        <v>12721.511</v>
      </c>
      <c r="F80" s="78">
        <v>11411.525</v>
      </c>
      <c r="G80" s="78">
        <v>1309.9860000000001</v>
      </c>
      <c r="H80" s="102"/>
      <c r="I80" s="79">
        <v>12800</v>
      </c>
      <c r="J80" s="96"/>
      <c r="K80" s="79">
        <f t="shared" si="44"/>
        <v>12800</v>
      </c>
      <c r="L80" s="96"/>
      <c r="M80" s="73" t="s">
        <v>113</v>
      </c>
      <c r="N80" s="97"/>
      <c r="O80" s="157">
        <v>1</v>
      </c>
      <c r="Q80" s="158">
        <v>1</v>
      </c>
    </row>
    <row r="81" spans="1:17" ht="15.75">
      <c r="A81" s="90" t="s">
        <v>100</v>
      </c>
      <c r="B81" s="126" t="s">
        <v>72</v>
      </c>
      <c r="C81" s="165"/>
      <c r="D81" s="127">
        <f>D82+D86+D89</f>
        <v>34900</v>
      </c>
      <c r="E81" s="127">
        <f>E82+E86+E89</f>
        <v>25192.205600000001</v>
      </c>
      <c r="F81" s="127">
        <f>F82+F86+F89</f>
        <v>2485.6260000000002</v>
      </c>
      <c r="G81" s="127">
        <f>G82+G86+G89</f>
        <v>22706.579600000001</v>
      </c>
      <c r="H81" s="96"/>
      <c r="I81" s="127">
        <v>12800</v>
      </c>
      <c r="J81" s="96"/>
      <c r="K81" s="127">
        <f>K82+K86+K89</f>
        <v>34900</v>
      </c>
      <c r="L81" s="96"/>
      <c r="M81" s="96"/>
      <c r="N81" s="97"/>
    </row>
    <row r="82" spans="1:17" ht="15.75">
      <c r="A82" s="90"/>
      <c r="B82" s="126" t="s">
        <v>11</v>
      </c>
      <c r="C82" s="165"/>
      <c r="D82" s="127">
        <f>SUM(D83:D85)</f>
        <v>13400</v>
      </c>
      <c r="E82" s="127">
        <f>SUM(E83:E85)</f>
        <v>7106.2766000000001</v>
      </c>
      <c r="F82" s="127">
        <f>SUM(F83:F85)</f>
        <v>864.69700000000012</v>
      </c>
      <c r="G82" s="127">
        <f>SUM(G83:G85)</f>
        <v>6241.5796</v>
      </c>
      <c r="H82" s="96"/>
      <c r="I82" s="127">
        <f>SUM(I83:I85)</f>
        <v>11800</v>
      </c>
      <c r="J82" s="96"/>
      <c r="K82" s="127">
        <f>SUM(K83:K85)</f>
        <v>13400</v>
      </c>
      <c r="L82" s="96"/>
      <c r="M82" s="96"/>
      <c r="N82" s="97"/>
    </row>
    <row r="83" spans="1:17" ht="31.5">
      <c r="A83" s="92">
        <v>1</v>
      </c>
      <c r="B83" s="128" t="s">
        <v>68</v>
      </c>
      <c r="C83" s="161"/>
      <c r="D83" s="106">
        <v>1000</v>
      </c>
      <c r="E83" s="74">
        <f t="shared" ref="E83:E90" si="45">SUM(F83:G83)</f>
        <v>0</v>
      </c>
      <c r="F83" s="78"/>
      <c r="G83" s="78"/>
      <c r="H83" s="133"/>
      <c r="I83" s="78"/>
      <c r="J83" s="133"/>
      <c r="K83" s="78">
        <f>D83</f>
        <v>1000</v>
      </c>
      <c r="L83" s="133"/>
      <c r="M83" s="133"/>
      <c r="N83" s="97"/>
      <c r="Q83" s="147">
        <v>1</v>
      </c>
    </row>
    <row r="84" spans="1:17" ht="31.5">
      <c r="A84" s="92">
        <v>2</v>
      </c>
      <c r="B84" s="128" t="s">
        <v>75</v>
      </c>
      <c r="C84" s="161"/>
      <c r="D84" s="106">
        <v>11000</v>
      </c>
      <c r="E84" s="74">
        <f t="shared" si="45"/>
        <v>6821.3086000000003</v>
      </c>
      <c r="F84" s="78">
        <v>579.72900000000004</v>
      </c>
      <c r="G84" s="78">
        <v>6241.5796</v>
      </c>
      <c r="H84" s="133"/>
      <c r="I84" s="78">
        <v>11000</v>
      </c>
      <c r="J84" s="133"/>
      <c r="K84" s="78">
        <f t="shared" ref="K84:K85" si="46">D84</f>
        <v>11000</v>
      </c>
      <c r="L84" s="133"/>
      <c r="M84" s="248" t="s">
        <v>111</v>
      </c>
      <c r="N84" s="97"/>
      <c r="O84" s="146">
        <v>1</v>
      </c>
      <c r="Q84" s="147">
        <v>1</v>
      </c>
    </row>
    <row r="85" spans="1:17" ht="63.75" customHeight="1">
      <c r="A85" s="92">
        <v>3</v>
      </c>
      <c r="B85" s="128" t="s">
        <v>76</v>
      </c>
      <c r="C85" s="161"/>
      <c r="D85" s="106">
        <v>1400</v>
      </c>
      <c r="E85" s="74">
        <f t="shared" si="45"/>
        <v>284.96800000000002</v>
      </c>
      <c r="F85" s="74">
        <v>284.96800000000002</v>
      </c>
      <c r="G85" s="187"/>
      <c r="H85" s="133"/>
      <c r="I85" s="106">
        <v>800</v>
      </c>
      <c r="J85" s="133"/>
      <c r="K85" s="78">
        <f t="shared" si="46"/>
        <v>1400</v>
      </c>
      <c r="L85" s="133"/>
      <c r="M85" s="248" t="s">
        <v>204</v>
      </c>
      <c r="N85" s="97"/>
      <c r="O85" s="146">
        <v>1</v>
      </c>
      <c r="Q85" s="147">
        <v>1</v>
      </c>
    </row>
    <row r="86" spans="1:17" ht="15.75">
      <c r="A86" s="90"/>
      <c r="B86" s="126" t="s">
        <v>23</v>
      </c>
      <c r="C86" s="165"/>
      <c r="D86" s="127">
        <f t="shared" ref="D86:G86" si="47">SUM(D87:D88)</f>
        <v>20000</v>
      </c>
      <c r="E86" s="127">
        <f t="shared" si="47"/>
        <v>18085.929</v>
      </c>
      <c r="F86" s="127">
        <f t="shared" si="47"/>
        <v>1620.9290000000001</v>
      </c>
      <c r="G86" s="127">
        <f t="shared" si="47"/>
        <v>16465</v>
      </c>
      <c r="H86" s="133"/>
      <c r="I86" s="127">
        <f>SUM(I87:I88)</f>
        <v>20000</v>
      </c>
      <c r="J86" s="133"/>
      <c r="K86" s="127">
        <f>SUM(K87:K88)</f>
        <v>20000</v>
      </c>
      <c r="L86" s="133"/>
      <c r="M86" s="270"/>
      <c r="N86" s="97"/>
    </row>
    <row r="87" spans="1:17" ht="94.5">
      <c r="A87" s="92">
        <v>1</v>
      </c>
      <c r="B87" s="128" t="s">
        <v>27</v>
      </c>
      <c r="C87" s="161"/>
      <c r="D87" s="106">
        <v>20000</v>
      </c>
      <c r="E87" s="74">
        <f t="shared" si="45"/>
        <v>18085.929</v>
      </c>
      <c r="F87" s="185">
        <f>441.492+734.4+96.738+348.299</f>
        <v>1620.9290000000001</v>
      </c>
      <c r="G87" s="185">
        <f>16000+465</f>
        <v>16465</v>
      </c>
      <c r="H87" s="133"/>
      <c r="I87" s="106">
        <v>20000</v>
      </c>
      <c r="J87" s="133"/>
      <c r="K87" s="106">
        <f>D87</f>
        <v>20000</v>
      </c>
      <c r="L87" s="133"/>
      <c r="M87" s="248" t="s">
        <v>205</v>
      </c>
      <c r="N87" s="97"/>
      <c r="O87" s="146">
        <v>1</v>
      </c>
      <c r="Q87" s="147">
        <v>1</v>
      </c>
    </row>
    <row r="88" spans="1:17" ht="47.25" hidden="1">
      <c r="A88" s="92">
        <v>2</v>
      </c>
      <c r="B88" s="128" t="s">
        <v>77</v>
      </c>
      <c r="C88" s="161"/>
      <c r="D88" s="106">
        <v>0</v>
      </c>
      <c r="E88" s="74">
        <f t="shared" si="45"/>
        <v>0</v>
      </c>
      <c r="F88" s="188"/>
      <c r="G88" s="78"/>
      <c r="H88" s="133"/>
      <c r="I88" s="106">
        <v>0</v>
      </c>
      <c r="J88" s="133"/>
      <c r="K88" s="106">
        <f>D88</f>
        <v>0</v>
      </c>
      <c r="L88" s="133"/>
      <c r="M88" s="133"/>
      <c r="N88" s="97"/>
      <c r="O88" s="146">
        <v>1</v>
      </c>
    </row>
    <row r="89" spans="1:17" ht="15.75">
      <c r="A89" s="90"/>
      <c r="B89" s="126" t="s">
        <v>10</v>
      </c>
      <c r="C89" s="165"/>
      <c r="D89" s="127">
        <f t="shared" ref="D89:K89" si="48">SUM(D90)</f>
        <v>1500</v>
      </c>
      <c r="E89" s="127">
        <f t="shared" si="48"/>
        <v>0</v>
      </c>
      <c r="F89" s="127">
        <f t="shared" si="48"/>
        <v>0</v>
      </c>
      <c r="G89" s="127">
        <f t="shared" si="48"/>
        <v>0</v>
      </c>
      <c r="H89" s="133"/>
      <c r="I89" s="127">
        <f t="shared" si="48"/>
        <v>650</v>
      </c>
      <c r="J89" s="133"/>
      <c r="K89" s="127">
        <f t="shared" si="48"/>
        <v>1500</v>
      </c>
      <c r="L89" s="133"/>
      <c r="M89" s="133"/>
      <c r="N89" s="97"/>
    </row>
    <row r="90" spans="1:17" ht="31.5">
      <c r="A90" s="92">
        <v>1</v>
      </c>
      <c r="B90" s="128" t="s">
        <v>78</v>
      </c>
      <c r="C90" s="161"/>
      <c r="D90" s="106">
        <v>1500</v>
      </c>
      <c r="E90" s="74">
        <f t="shared" si="45"/>
        <v>0</v>
      </c>
      <c r="F90" s="188"/>
      <c r="G90" s="78"/>
      <c r="H90" s="133"/>
      <c r="I90" s="106">
        <v>650</v>
      </c>
      <c r="J90" s="133"/>
      <c r="K90" s="106">
        <f>D90</f>
        <v>1500</v>
      </c>
      <c r="L90" s="133"/>
      <c r="M90" s="73" t="s">
        <v>112</v>
      </c>
      <c r="N90" s="97"/>
      <c r="O90" s="146">
        <v>1</v>
      </c>
      <c r="Q90" s="147">
        <v>1</v>
      </c>
    </row>
    <row r="91" spans="1:17" ht="47.25">
      <c r="A91" s="90">
        <v>3</v>
      </c>
      <c r="B91" s="139" t="s">
        <v>118</v>
      </c>
      <c r="C91" s="165"/>
      <c r="D91" s="127">
        <f>SUM(D92:D94)</f>
        <v>26811</v>
      </c>
      <c r="E91" s="127">
        <f t="shared" ref="E91:L91" si="49">SUM(E92:E94)</f>
        <v>24749.321378000001</v>
      </c>
      <c r="F91" s="127">
        <f t="shared" si="49"/>
        <v>24749.321378000001</v>
      </c>
      <c r="G91" s="127">
        <f t="shared" si="49"/>
        <v>0</v>
      </c>
      <c r="H91" s="127">
        <f t="shared" si="49"/>
        <v>0</v>
      </c>
      <c r="I91" s="127">
        <f t="shared" si="49"/>
        <v>25584.640378</v>
      </c>
      <c r="J91" s="127">
        <f t="shared" si="49"/>
        <v>0</v>
      </c>
      <c r="K91" s="127">
        <f t="shared" si="49"/>
        <v>26811</v>
      </c>
      <c r="L91" s="127">
        <f t="shared" si="49"/>
        <v>0</v>
      </c>
      <c r="M91" s="189"/>
      <c r="N91" s="97"/>
      <c r="Q91" s="266">
        <f>SUM(Q31:Q90)</f>
        <v>23</v>
      </c>
    </row>
    <row r="92" spans="1:17" ht="47.25">
      <c r="A92" s="92">
        <v>1</v>
      </c>
      <c r="B92" s="128" t="s">
        <v>26</v>
      </c>
      <c r="C92" s="161"/>
      <c r="D92" s="106">
        <v>24585</v>
      </c>
      <c r="E92" s="74">
        <f t="shared" ref="E92:E94" si="50">SUM(F92:G92)</f>
        <v>24584.640378</v>
      </c>
      <c r="F92" s="190">
        <v>24584.640378</v>
      </c>
      <c r="G92" s="190"/>
      <c r="H92" s="133"/>
      <c r="I92" s="74">
        <v>24584.640378</v>
      </c>
      <c r="J92" s="133"/>
      <c r="K92" s="106">
        <v>24585</v>
      </c>
      <c r="L92" s="133"/>
      <c r="M92" s="73"/>
      <c r="N92" s="97"/>
    </row>
    <row r="93" spans="1:17" ht="31.5">
      <c r="A93" s="92">
        <v>2</v>
      </c>
      <c r="B93" s="128" t="s">
        <v>116</v>
      </c>
      <c r="C93" s="161"/>
      <c r="D93" s="141">
        <v>1226</v>
      </c>
      <c r="E93" s="74">
        <f t="shared" si="50"/>
        <v>164.68100000000001</v>
      </c>
      <c r="F93" s="106">
        <v>164.68100000000001</v>
      </c>
      <c r="G93" s="78">
        <v>0</v>
      </c>
      <c r="H93" s="133"/>
      <c r="I93" s="106">
        <v>500</v>
      </c>
      <c r="J93" s="133"/>
      <c r="K93" s="141">
        <v>1226</v>
      </c>
      <c r="L93" s="133"/>
      <c r="M93" s="73"/>
      <c r="N93" s="97"/>
    </row>
    <row r="94" spans="1:17" ht="15.75">
      <c r="A94" s="92">
        <v>3</v>
      </c>
      <c r="B94" s="128" t="s">
        <v>117</v>
      </c>
      <c r="C94" s="161"/>
      <c r="D94" s="141">
        <v>1000</v>
      </c>
      <c r="E94" s="74">
        <f t="shared" si="50"/>
        <v>0</v>
      </c>
      <c r="F94" s="188"/>
      <c r="G94" s="78">
        <v>0</v>
      </c>
      <c r="H94" s="133"/>
      <c r="I94" s="106">
        <v>500</v>
      </c>
      <c r="J94" s="133"/>
      <c r="K94" s="141">
        <v>1000</v>
      </c>
      <c r="L94" s="133"/>
      <c r="M94" s="73"/>
      <c r="N94" s="97"/>
    </row>
  </sheetData>
  <mergeCells count="17">
    <mergeCell ref="I5:I7"/>
    <mergeCell ref="K5:K7"/>
    <mergeCell ref="L5:L7"/>
    <mergeCell ref="M5:M7"/>
    <mergeCell ref="A1:N1"/>
    <mergeCell ref="A2:N2"/>
    <mergeCell ref="A3:N3"/>
    <mergeCell ref="B5:B7"/>
    <mergeCell ref="H5:H7"/>
    <mergeCell ref="A5:A7"/>
    <mergeCell ref="E6:E7"/>
    <mergeCell ref="D5:D7"/>
    <mergeCell ref="F6:G6"/>
    <mergeCell ref="C5:C7"/>
    <mergeCell ref="E5:G5"/>
    <mergeCell ref="J5:J7"/>
    <mergeCell ref="N5:N7"/>
  </mergeCells>
  <phoneticPr fontId="45" type="noConversion"/>
  <printOptions horizontalCentered="1"/>
  <pageMargins left="0" right="0" top="0.25" bottom="0.25" header="0.31496062992126" footer="0.31496062992126"/>
  <pageSetup paperSize="9" scale="65" orientation="landscape" r:id="rId1"/>
  <rowBreaks count="2" manualBreakCount="2">
    <brk id="30" max="13" man="1"/>
    <brk id="7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R20"/>
  <sheetViews>
    <sheetView workbookViewId="0">
      <selection activeCell="L19" sqref="L19"/>
    </sheetView>
  </sheetViews>
  <sheetFormatPr defaultColWidth="8.85546875" defaultRowHeight="15"/>
  <cols>
    <col min="1" max="1" width="7.28515625" style="255" customWidth="1"/>
    <col min="2" max="2" width="46" style="256" customWidth="1"/>
    <col min="3" max="3" width="14.28515625" style="257" customWidth="1"/>
    <col min="4" max="4" width="14.28515625" style="252" customWidth="1"/>
    <col min="5" max="5" width="12.5703125" style="252" customWidth="1"/>
    <col min="6" max="6" width="13.7109375" style="252" customWidth="1"/>
    <col min="7" max="7" width="8.7109375" style="252" customWidth="1"/>
    <col min="8" max="8" width="13.5703125" style="252" hidden="1" customWidth="1"/>
    <col min="9" max="9" width="9.85546875" style="258" hidden="1" customWidth="1"/>
    <col min="10" max="10" width="13.42578125" style="258" customWidth="1"/>
    <col min="11" max="11" width="9.85546875" style="258" customWidth="1"/>
    <col min="12" max="12" width="42.42578125" style="258" customWidth="1"/>
    <col min="13" max="13" width="15.85546875" style="218" customWidth="1"/>
    <col min="14" max="14" width="20.140625" style="217" customWidth="1"/>
    <col min="15" max="15" width="20.5703125" style="218" customWidth="1"/>
    <col min="16" max="16" width="14.140625" style="218" customWidth="1"/>
    <col min="17" max="17" width="10.5703125" style="218" customWidth="1"/>
    <col min="18" max="18" width="21.42578125" style="218" customWidth="1"/>
    <col min="19" max="16384" width="8.85546875" style="218"/>
  </cols>
  <sheetData>
    <row r="1" spans="1:14" ht="18.75">
      <c r="A1" s="311" t="s">
        <v>164</v>
      </c>
      <c r="B1" s="311"/>
      <c r="C1" s="311"/>
      <c r="D1" s="311"/>
      <c r="E1" s="311"/>
      <c r="F1" s="311"/>
      <c r="G1" s="311"/>
      <c r="H1" s="311"/>
      <c r="I1" s="311"/>
      <c r="J1" s="311"/>
      <c r="K1" s="311"/>
      <c r="L1" s="311"/>
      <c r="M1" s="311"/>
    </row>
    <row r="2" spans="1:14" ht="18.75">
      <c r="A2" s="312"/>
      <c r="B2" s="312"/>
      <c r="C2" s="312"/>
      <c r="D2" s="312"/>
      <c r="E2" s="312"/>
      <c r="F2" s="312"/>
      <c r="G2" s="312"/>
      <c r="H2" s="312"/>
      <c r="I2" s="312"/>
      <c r="J2" s="312"/>
      <c r="K2" s="312"/>
      <c r="L2" s="312"/>
      <c r="M2" s="312"/>
    </row>
    <row r="3" spans="1:14">
      <c r="A3" s="219"/>
      <c r="B3" s="220"/>
      <c r="C3" s="221"/>
      <c r="D3" s="221"/>
      <c r="E3" s="221"/>
      <c r="F3" s="221"/>
      <c r="G3" s="221"/>
      <c r="H3" s="221"/>
      <c r="I3" s="222"/>
      <c r="J3" s="222"/>
      <c r="K3" s="222"/>
      <c r="L3" s="222"/>
      <c r="M3" s="223" t="s">
        <v>85</v>
      </c>
    </row>
    <row r="4" spans="1:14" ht="15.75" customHeight="1">
      <c r="A4" s="313" t="s">
        <v>1</v>
      </c>
      <c r="B4" s="313" t="s">
        <v>2</v>
      </c>
      <c r="C4" s="314" t="s">
        <v>165</v>
      </c>
      <c r="D4" s="315" t="s">
        <v>84</v>
      </c>
      <c r="E4" s="316"/>
      <c r="F4" s="316"/>
      <c r="G4" s="315" t="s">
        <v>31</v>
      </c>
      <c r="H4" s="317" t="s">
        <v>166</v>
      </c>
      <c r="I4" s="320" t="s">
        <v>32</v>
      </c>
      <c r="J4" s="317" t="s">
        <v>106</v>
      </c>
      <c r="K4" s="320" t="s">
        <v>32</v>
      </c>
      <c r="L4" s="321" t="s">
        <v>167</v>
      </c>
      <c r="M4" s="313" t="s">
        <v>4</v>
      </c>
    </row>
    <row r="5" spans="1:14" ht="15.75">
      <c r="A5" s="313"/>
      <c r="B5" s="313"/>
      <c r="C5" s="314"/>
      <c r="D5" s="315" t="s">
        <v>5</v>
      </c>
      <c r="E5" s="315" t="s">
        <v>28</v>
      </c>
      <c r="F5" s="315"/>
      <c r="G5" s="315"/>
      <c r="H5" s="318"/>
      <c r="I5" s="320"/>
      <c r="J5" s="318"/>
      <c r="K5" s="320"/>
      <c r="L5" s="322"/>
      <c r="M5" s="313"/>
    </row>
    <row r="6" spans="1:14" ht="63">
      <c r="A6" s="313"/>
      <c r="B6" s="313"/>
      <c r="C6" s="314"/>
      <c r="D6" s="316"/>
      <c r="E6" s="226" t="s">
        <v>29</v>
      </c>
      <c r="F6" s="226" t="s">
        <v>30</v>
      </c>
      <c r="G6" s="315"/>
      <c r="H6" s="319"/>
      <c r="I6" s="320"/>
      <c r="J6" s="319"/>
      <c r="K6" s="320"/>
      <c r="L6" s="323"/>
      <c r="M6" s="313"/>
    </row>
    <row r="7" spans="1:14" ht="15.75">
      <c r="A7" s="227"/>
      <c r="B7" s="224" t="s">
        <v>6</v>
      </c>
      <c r="C7" s="225">
        <f>C8</f>
        <v>13300</v>
      </c>
      <c r="D7" s="225">
        <f t="shared" ref="D7:F7" si="0">D8</f>
        <v>4385.4539999999997</v>
      </c>
      <c r="E7" s="225">
        <f t="shared" si="0"/>
        <v>1206.96</v>
      </c>
      <c r="F7" s="225">
        <f t="shared" si="0"/>
        <v>3178.4939999999997</v>
      </c>
      <c r="G7" s="228">
        <f>D7/C7</f>
        <v>0.32973338345864661</v>
      </c>
      <c r="H7" s="225">
        <f>H8</f>
        <v>4722.0611499999995</v>
      </c>
      <c r="I7" s="228">
        <f>H7/C7</f>
        <v>0.35504219172932328</v>
      </c>
      <c r="J7" s="225">
        <f>J8</f>
        <v>13300</v>
      </c>
      <c r="K7" s="229">
        <f>J7/C7</f>
        <v>1</v>
      </c>
      <c r="L7" s="229"/>
      <c r="M7" s="230"/>
    </row>
    <row r="8" spans="1:14" ht="15.75">
      <c r="A8" s="227"/>
      <c r="B8" s="231" t="s">
        <v>168</v>
      </c>
      <c r="C8" s="225">
        <f>C9+C17</f>
        <v>13300</v>
      </c>
      <c r="D8" s="225">
        <f t="shared" ref="D8:F8" si="1">D9+D17</f>
        <v>4385.4539999999997</v>
      </c>
      <c r="E8" s="225">
        <f t="shared" si="1"/>
        <v>1206.96</v>
      </c>
      <c r="F8" s="225">
        <f t="shared" si="1"/>
        <v>3178.4939999999997</v>
      </c>
      <c r="G8" s="228">
        <f>D8/C8</f>
        <v>0.32973338345864661</v>
      </c>
      <c r="H8" s="225">
        <f>H9+H17</f>
        <v>4722.0611499999995</v>
      </c>
      <c r="I8" s="228">
        <f t="shared" ref="I8:I9" si="2">H8/C8</f>
        <v>0.35504219172932328</v>
      </c>
      <c r="J8" s="225">
        <f>J9+J17</f>
        <v>13300</v>
      </c>
      <c r="K8" s="229">
        <f>J8/C8</f>
        <v>1</v>
      </c>
      <c r="L8" s="229"/>
      <c r="M8" s="230"/>
    </row>
    <row r="9" spans="1:14" ht="15.75">
      <c r="A9" s="227" t="s">
        <v>8</v>
      </c>
      <c r="B9" s="231" t="s">
        <v>169</v>
      </c>
      <c r="C9" s="225">
        <f>SUM(C11:C16)</f>
        <v>5800</v>
      </c>
      <c r="D9" s="225">
        <f t="shared" ref="D9:F9" si="3">SUM(D11:D16)</f>
        <v>2040.62</v>
      </c>
      <c r="E9" s="225">
        <f t="shared" si="3"/>
        <v>778.62</v>
      </c>
      <c r="F9" s="225">
        <f t="shared" si="3"/>
        <v>1262</v>
      </c>
      <c r="G9" s="228">
        <f>D9/C9</f>
        <v>0.3518310344827586</v>
      </c>
      <c r="H9" s="225">
        <f>SUM(H11:H16)</f>
        <v>2097.06115</v>
      </c>
      <c r="I9" s="228">
        <f t="shared" si="2"/>
        <v>0.3615622672413793</v>
      </c>
      <c r="J9" s="225">
        <f>SUM(J11:J16)</f>
        <v>5800</v>
      </c>
      <c r="K9" s="229">
        <f>J9/C9</f>
        <v>1</v>
      </c>
      <c r="L9" s="229"/>
      <c r="M9" s="230"/>
    </row>
    <row r="10" spans="1:14" ht="15.75">
      <c r="A10" s="227"/>
      <c r="B10" s="232" t="s">
        <v>170</v>
      </c>
      <c r="C10" s="225"/>
      <c r="D10" s="225"/>
      <c r="E10" s="225"/>
      <c r="F10" s="225"/>
      <c r="G10" s="228"/>
      <c r="H10" s="225"/>
      <c r="I10" s="228"/>
      <c r="J10" s="225"/>
      <c r="K10" s="229"/>
      <c r="L10" s="229"/>
      <c r="M10" s="230"/>
    </row>
    <row r="11" spans="1:14" s="240" customFormat="1" ht="31.5">
      <c r="A11" s="233">
        <v>1</v>
      </c>
      <c r="B11" s="234" t="s">
        <v>171</v>
      </c>
      <c r="C11" s="235">
        <v>103.17100000000001</v>
      </c>
      <c r="D11" s="235">
        <f>SUM(E11:F11)</f>
        <v>103.17100000000001</v>
      </c>
      <c r="E11" s="235">
        <v>103.17100000000001</v>
      </c>
      <c r="F11" s="235"/>
      <c r="G11" s="236"/>
      <c r="H11" s="235">
        <v>103.17100000000001</v>
      </c>
      <c r="I11" s="236"/>
      <c r="J11" s="235">
        <f>C11</f>
        <v>103.17100000000001</v>
      </c>
      <c r="K11" s="237"/>
      <c r="L11" s="237"/>
      <c r="M11" s="238"/>
      <c r="N11" s="239"/>
    </row>
    <row r="12" spans="1:14" ht="15.75">
      <c r="A12" s="227"/>
      <c r="B12" s="231" t="s">
        <v>172</v>
      </c>
      <c r="C12" s="225"/>
      <c r="D12" s="235"/>
      <c r="E12" s="225"/>
      <c r="F12" s="225"/>
      <c r="G12" s="228"/>
      <c r="H12" s="225"/>
      <c r="I12" s="228"/>
      <c r="J12" s="235"/>
      <c r="K12" s="229"/>
      <c r="L12" s="229"/>
      <c r="M12" s="230"/>
    </row>
    <row r="13" spans="1:14" s="240" customFormat="1" ht="94.5">
      <c r="A13" s="233">
        <v>1</v>
      </c>
      <c r="B13" s="241" t="s">
        <v>173</v>
      </c>
      <c r="C13" s="235">
        <v>1362</v>
      </c>
      <c r="D13" s="235">
        <f t="shared" ref="D13:D16" si="4">SUM(E13:F13)</f>
        <v>529.27700000000004</v>
      </c>
      <c r="E13" s="235">
        <f>335.444+12.513+4.32</f>
        <v>352.27699999999999</v>
      </c>
      <c r="F13" s="235">
        <v>177</v>
      </c>
      <c r="G13" s="236"/>
      <c r="H13" s="235">
        <f>C13*35%</f>
        <v>476.7</v>
      </c>
      <c r="I13" s="236"/>
      <c r="J13" s="235">
        <f t="shared" ref="J13:J16" si="5">C13</f>
        <v>1362</v>
      </c>
      <c r="K13" s="237"/>
      <c r="L13" s="242" t="s">
        <v>174</v>
      </c>
      <c r="M13" s="238"/>
      <c r="N13" s="239"/>
    </row>
    <row r="14" spans="1:14" s="240" customFormat="1" ht="94.5">
      <c r="A14" s="233">
        <v>2</v>
      </c>
      <c r="B14" s="241" t="s">
        <v>175</v>
      </c>
      <c r="C14" s="235">
        <v>2424</v>
      </c>
      <c r="D14" s="235">
        <f t="shared" si="4"/>
        <v>805.49299999999994</v>
      </c>
      <c r="E14" s="235">
        <v>221.49299999999999</v>
      </c>
      <c r="F14" s="235">
        <v>584</v>
      </c>
      <c r="G14" s="236"/>
      <c r="H14" s="235">
        <f>C14*35%</f>
        <v>848.4</v>
      </c>
      <c r="I14" s="236"/>
      <c r="J14" s="235">
        <f t="shared" si="5"/>
        <v>2424</v>
      </c>
      <c r="K14" s="237"/>
      <c r="L14" s="243" t="s">
        <v>176</v>
      </c>
      <c r="M14" s="238"/>
      <c r="N14" s="239"/>
    </row>
    <row r="15" spans="1:14" s="240" customFormat="1" ht="94.5">
      <c r="A15" s="233">
        <v>3</v>
      </c>
      <c r="B15" s="241" t="s">
        <v>177</v>
      </c>
      <c r="C15" s="235">
        <v>732</v>
      </c>
      <c r="D15" s="235">
        <f t="shared" si="4"/>
        <v>162</v>
      </c>
      <c r="E15" s="235"/>
      <c r="F15" s="235">
        <v>162</v>
      </c>
      <c r="G15" s="236"/>
      <c r="H15" s="235">
        <f t="shared" ref="H15:H16" si="6">C15*35%</f>
        <v>256.2</v>
      </c>
      <c r="I15" s="236"/>
      <c r="J15" s="235">
        <f t="shared" si="5"/>
        <v>732</v>
      </c>
      <c r="K15" s="237"/>
      <c r="L15" s="243" t="s">
        <v>178</v>
      </c>
      <c r="M15" s="238"/>
      <c r="N15" s="239"/>
    </row>
    <row r="16" spans="1:14" s="240" customFormat="1" ht="78.75">
      <c r="A16" s="233">
        <v>4</v>
      </c>
      <c r="B16" s="241" t="s">
        <v>179</v>
      </c>
      <c r="C16" s="235">
        <v>1178.829</v>
      </c>
      <c r="D16" s="235">
        <f t="shared" si="4"/>
        <v>440.67899999999997</v>
      </c>
      <c r="E16" s="235">
        <f>96.379+5.3</f>
        <v>101.679</v>
      </c>
      <c r="F16" s="235">
        <v>339</v>
      </c>
      <c r="G16" s="236"/>
      <c r="H16" s="235">
        <f t="shared" si="6"/>
        <v>412.59014999999994</v>
      </c>
      <c r="I16" s="236"/>
      <c r="J16" s="235">
        <f t="shared" si="5"/>
        <v>1178.829</v>
      </c>
      <c r="K16" s="237"/>
      <c r="L16" s="242" t="s">
        <v>180</v>
      </c>
      <c r="M16" s="238"/>
      <c r="N16" s="239"/>
    </row>
    <row r="17" spans="1:18" ht="18.75">
      <c r="A17" s="227" t="s">
        <v>12</v>
      </c>
      <c r="B17" s="244" t="s">
        <v>181</v>
      </c>
      <c r="C17" s="225">
        <f>SUM(C18:C20)</f>
        <v>7500</v>
      </c>
      <c r="D17" s="225">
        <f>SUM(D18:D20)</f>
        <v>2344.8339999999998</v>
      </c>
      <c r="E17" s="225">
        <f>SUM(E18:E20)</f>
        <v>428.34</v>
      </c>
      <c r="F17" s="225">
        <f>SUM(F18:F20)</f>
        <v>1916.4939999999999</v>
      </c>
      <c r="G17" s="228">
        <f>D17/C17</f>
        <v>0.31264453333333331</v>
      </c>
      <c r="H17" s="225">
        <f>SUM(H18:H20)</f>
        <v>2624.9999999999995</v>
      </c>
      <c r="I17" s="228">
        <f>H17/C17</f>
        <v>0.34999999999999992</v>
      </c>
      <c r="J17" s="225">
        <f>SUM(J18:J20)</f>
        <v>7500</v>
      </c>
      <c r="K17" s="229">
        <f>J17/C17</f>
        <v>1</v>
      </c>
      <c r="L17" s="229"/>
      <c r="M17" s="230"/>
      <c r="R17" s="245"/>
    </row>
    <row r="18" spans="1:18" ht="15.75">
      <c r="A18" s="233"/>
      <c r="B18" s="246" t="s">
        <v>172</v>
      </c>
      <c r="C18" s="247"/>
      <c r="D18" s="235"/>
      <c r="E18" s="235"/>
      <c r="F18" s="235"/>
      <c r="G18" s="228"/>
      <c r="H18" s="235"/>
      <c r="I18" s="228"/>
      <c r="J18" s="235"/>
      <c r="K18" s="229"/>
      <c r="L18" s="248"/>
      <c r="M18" s="230"/>
      <c r="R18" s="249"/>
    </row>
    <row r="19" spans="1:18" ht="94.5">
      <c r="A19" s="233">
        <v>1</v>
      </c>
      <c r="B19" s="250" t="s">
        <v>182</v>
      </c>
      <c r="C19" s="247">
        <v>782</v>
      </c>
      <c r="D19" s="235">
        <f t="shared" ref="D19:D20" si="7">SUM(E19:F19)</f>
        <v>225.392</v>
      </c>
      <c r="E19" s="235">
        <f>56.072+4.32</f>
        <v>60.392000000000003</v>
      </c>
      <c r="F19" s="235">
        <v>165</v>
      </c>
      <c r="G19" s="228"/>
      <c r="H19" s="235">
        <f t="shared" ref="H19:H20" si="8">C19*35%</f>
        <v>273.7</v>
      </c>
      <c r="I19" s="228"/>
      <c r="J19" s="235">
        <f>C19</f>
        <v>782</v>
      </c>
      <c r="K19" s="229"/>
      <c r="L19" s="251" t="s">
        <v>183</v>
      </c>
      <c r="M19" s="230"/>
      <c r="Q19" s="252"/>
      <c r="R19" s="249"/>
    </row>
    <row r="20" spans="1:18" ht="78.75">
      <c r="A20" s="233">
        <v>2</v>
      </c>
      <c r="B20" s="250" t="s">
        <v>184</v>
      </c>
      <c r="C20" s="253">
        <v>6718</v>
      </c>
      <c r="D20" s="235">
        <f t="shared" si="7"/>
        <v>2119.442</v>
      </c>
      <c r="E20" s="235">
        <v>367.94799999999998</v>
      </c>
      <c r="F20" s="235">
        <v>1751.4939999999999</v>
      </c>
      <c r="G20" s="228"/>
      <c r="H20" s="235">
        <f t="shared" si="8"/>
        <v>2351.2999999999997</v>
      </c>
      <c r="I20" s="228"/>
      <c r="J20" s="235">
        <f>C20</f>
        <v>6718</v>
      </c>
      <c r="K20" s="229"/>
      <c r="L20" s="254" t="s">
        <v>185</v>
      </c>
      <c r="M20" s="230"/>
      <c r="Q20" s="252"/>
      <c r="R20" s="249"/>
    </row>
  </sheetData>
  <mergeCells count="15">
    <mergeCell ref="A1:M1"/>
    <mergeCell ref="A2:M2"/>
    <mergeCell ref="A4:A6"/>
    <mergeCell ref="B4:B6"/>
    <mergeCell ref="C4:C6"/>
    <mergeCell ref="D4:F4"/>
    <mergeCell ref="G4:G6"/>
    <mergeCell ref="H4:H6"/>
    <mergeCell ref="I4:I6"/>
    <mergeCell ref="J4:J6"/>
    <mergeCell ref="K4:K6"/>
    <mergeCell ref="L4:L6"/>
    <mergeCell ref="M4:M6"/>
    <mergeCell ref="D5:D6"/>
    <mergeCell ref="E5:F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workbookViewId="0">
      <selection activeCell="M17" sqref="M17"/>
    </sheetView>
  </sheetViews>
  <sheetFormatPr defaultColWidth="8.85546875" defaultRowHeight="15"/>
  <cols>
    <col min="1" max="1" width="7.28515625" style="12" customWidth="1"/>
    <col min="2" max="2" width="33.85546875" style="13" customWidth="1"/>
    <col min="3" max="3" width="10.140625" style="14" hidden="1" customWidth="1"/>
    <col min="4" max="4" width="14.28515625" style="12" customWidth="1"/>
    <col min="5" max="5" width="13.7109375" style="1" customWidth="1"/>
    <col min="6" max="6" width="12.5703125" style="1" customWidth="1"/>
    <col min="7" max="7" width="16.28515625" style="1" customWidth="1"/>
    <col min="8" max="8" width="18" style="1" customWidth="1"/>
    <col min="9" max="9" width="19" style="15" customWidth="1"/>
    <col min="10" max="10" width="26.28515625" customWidth="1"/>
    <col min="11" max="11" width="14" style="7" hidden="1" customWidth="1"/>
    <col min="12" max="12" width="20.7109375" hidden="1" customWidth="1"/>
    <col min="13" max="13" width="20.140625" style="16" customWidth="1"/>
    <col min="14" max="14" width="20.5703125" customWidth="1"/>
    <col min="15" max="15" width="14.140625" customWidth="1"/>
    <col min="16" max="16" width="10.5703125" customWidth="1"/>
    <col min="17" max="17" width="9.7109375" bestFit="1" customWidth="1"/>
  </cols>
  <sheetData>
    <row r="1" spans="1:17" ht="6.6" customHeight="1">
      <c r="A1" s="328"/>
      <c r="B1" s="328"/>
      <c r="C1" s="328"/>
      <c r="D1" s="328"/>
      <c r="E1" s="328"/>
      <c r="F1" s="328"/>
      <c r="G1" s="328"/>
      <c r="H1" s="328"/>
      <c r="I1" s="328"/>
      <c r="J1" s="328"/>
    </row>
    <row r="2" spans="1:17" ht="18.75">
      <c r="A2" s="329" t="s">
        <v>56</v>
      </c>
      <c r="B2" s="329"/>
      <c r="C2" s="329"/>
      <c r="D2" s="329"/>
      <c r="E2" s="329"/>
      <c r="F2" s="329"/>
      <c r="G2" s="329"/>
      <c r="H2" s="329"/>
      <c r="I2" s="329"/>
      <c r="J2" s="329"/>
    </row>
    <row r="3" spans="1:17" ht="18.75">
      <c r="A3" s="330"/>
      <c r="B3" s="330"/>
      <c r="C3" s="330"/>
      <c r="D3" s="330"/>
      <c r="E3" s="330"/>
      <c r="F3" s="330"/>
      <c r="G3" s="330"/>
      <c r="H3" s="330"/>
      <c r="I3" s="330"/>
      <c r="J3" s="330"/>
    </row>
    <row r="4" spans="1:17">
      <c r="A4" s="8"/>
      <c r="B4" s="9"/>
      <c r="C4" s="3"/>
      <c r="D4" s="4"/>
      <c r="E4" s="5"/>
      <c r="F4" s="5"/>
      <c r="G4" s="5"/>
      <c r="H4" s="5"/>
      <c r="I4" s="2"/>
      <c r="J4" s="6" t="s">
        <v>0</v>
      </c>
    </row>
    <row r="5" spans="1:17" ht="23.45" customHeight="1">
      <c r="A5" s="331" t="s">
        <v>1</v>
      </c>
      <c r="B5" s="331" t="s">
        <v>2</v>
      </c>
      <c r="C5" s="334" t="s">
        <v>3</v>
      </c>
      <c r="D5" s="331" t="s">
        <v>42</v>
      </c>
      <c r="E5" s="326" t="s">
        <v>64</v>
      </c>
      <c r="F5" s="327"/>
      <c r="G5" s="327"/>
      <c r="H5" s="336" t="s">
        <v>55</v>
      </c>
      <c r="I5" s="339" t="s">
        <v>53</v>
      </c>
      <c r="J5" s="324" t="s">
        <v>4</v>
      </c>
      <c r="K5" s="325" t="s">
        <v>41</v>
      </c>
    </row>
    <row r="6" spans="1:17" ht="21" customHeight="1">
      <c r="A6" s="332"/>
      <c r="B6" s="332"/>
      <c r="C6" s="335"/>
      <c r="D6" s="332"/>
      <c r="E6" s="326" t="s">
        <v>5</v>
      </c>
      <c r="F6" s="326" t="s">
        <v>28</v>
      </c>
      <c r="G6" s="326"/>
      <c r="H6" s="337"/>
      <c r="I6" s="340"/>
      <c r="J6" s="324"/>
      <c r="K6" s="325"/>
    </row>
    <row r="7" spans="1:17" ht="56.45" customHeight="1">
      <c r="A7" s="333"/>
      <c r="B7" s="333"/>
      <c r="C7" s="21"/>
      <c r="D7" s="333"/>
      <c r="E7" s="327"/>
      <c r="F7" s="19" t="s">
        <v>29</v>
      </c>
      <c r="G7" s="19" t="s">
        <v>30</v>
      </c>
      <c r="H7" s="338"/>
      <c r="I7" s="341"/>
      <c r="J7" s="324"/>
      <c r="K7" s="325"/>
    </row>
    <row r="8" spans="1:17" ht="15.75">
      <c r="A8" s="22"/>
      <c r="B8" s="23" t="s">
        <v>6</v>
      </c>
      <c r="C8" s="24"/>
      <c r="D8" s="25">
        <f t="shared" ref="D8:I8" si="0">D9+D13+D21</f>
        <v>143103.77199999997</v>
      </c>
      <c r="E8" s="25">
        <f t="shared" si="0"/>
        <v>120490.60107999999</v>
      </c>
      <c r="F8" s="25">
        <f t="shared" si="0"/>
        <v>20386.047999999999</v>
      </c>
      <c r="G8" s="25">
        <f t="shared" si="0"/>
        <v>99824.553079999998</v>
      </c>
      <c r="H8" s="25">
        <f t="shared" si="0"/>
        <v>126292.47</v>
      </c>
      <c r="I8" s="68">
        <f t="shared" si="0"/>
        <v>22175.062920000008</v>
      </c>
      <c r="J8" s="26"/>
      <c r="K8" s="10"/>
      <c r="L8" s="1">
        <f t="shared" ref="L8:L23" si="1">D8-H8</f>
        <v>16811.301999999967</v>
      </c>
    </row>
    <row r="9" spans="1:17" ht="15.75">
      <c r="A9" s="27" t="s">
        <v>7</v>
      </c>
      <c r="B9" s="28" t="s">
        <v>34</v>
      </c>
      <c r="C9" s="29"/>
      <c r="D9" s="25">
        <f t="shared" ref="D9:I9" si="2">SUM(D10:D12)</f>
        <v>38000</v>
      </c>
      <c r="E9" s="25">
        <f t="shared" si="2"/>
        <v>24877.849399999999</v>
      </c>
      <c r="F9" s="25">
        <f t="shared" si="2"/>
        <v>13978.246999999998</v>
      </c>
      <c r="G9" s="25">
        <f t="shared" si="2"/>
        <v>10899.6024</v>
      </c>
      <c r="H9" s="25">
        <f t="shared" si="2"/>
        <v>28095.78</v>
      </c>
      <c r="I9" s="25">
        <f t="shared" si="2"/>
        <v>13122.150600000001</v>
      </c>
      <c r="J9" s="30"/>
      <c r="K9" s="10"/>
      <c r="L9" s="1">
        <f t="shared" si="1"/>
        <v>9904.2200000000012</v>
      </c>
    </row>
    <row r="10" spans="1:17" s="16" customFormat="1" ht="31.5">
      <c r="A10" s="31">
        <v>1</v>
      </c>
      <c r="B10" s="32" t="s">
        <v>40</v>
      </c>
      <c r="C10" s="24">
        <v>7891589</v>
      </c>
      <c r="D10" s="33">
        <v>25000</v>
      </c>
      <c r="E10" s="34">
        <f>SUM(F10:G10)</f>
        <v>19858.828999999998</v>
      </c>
      <c r="F10" s="34">
        <f>6155.942+3171.216+1782.728+2382.069</f>
        <v>13491.954999999998</v>
      </c>
      <c r="G10" s="34">
        <v>6366.8739999999998</v>
      </c>
      <c r="H10" s="34">
        <f>17476.76+2600</f>
        <v>20076.759999999998</v>
      </c>
      <c r="I10" s="67">
        <f>D10-E10</f>
        <v>5141.1710000000021</v>
      </c>
      <c r="J10" s="26" t="s">
        <v>57</v>
      </c>
      <c r="K10" s="10">
        <v>25137.173999999999</v>
      </c>
      <c r="L10" s="1">
        <f t="shared" si="1"/>
        <v>4923.2400000000016</v>
      </c>
      <c r="N10"/>
      <c r="O10"/>
      <c r="P10"/>
      <c r="Q10"/>
    </row>
    <row r="11" spans="1:17" s="16" customFormat="1" ht="31.5">
      <c r="A11" s="31">
        <v>2</v>
      </c>
      <c r="B11" s="32" t="s">
        <v>22</v>
      </c>
      <c r="C11" s="24" t="s">
        <v>44</v>
      </c>
      <c r="D11" s="33">
        <v>3000</v>
      </c>
      <c r="E11" s="34">
        <f>SUM(F11:G11)</f>
        <v>0</v>
      </c>
      <c r="F11" s="34"/>
      <c r="G11" s="34"/>
      <c r="H11" s="34">
        <v>3000</v>
      </c>
      <c r="I11" s="67">
        <f>D11-E11</f>
        <v>3000</v>
      </c>
      <c r="J11" s="26" t="s">
        <v>57</v>
      </c>
      <c r="K11" s="10">
        <v>7653.0972030000003</v>
      </c>
      <c r="L11" s="1">
        <f t="shared" si="1"/>
        <v>0</v>
      </c>
      <c r="N11"/>
      <c r="O11"/>
      <c r="P11"/>
      <c r="Q11"/>
    </row>
    <row r="12" spans="1:17" s="16" customFormat="1" ht="31.5">
      <c r="A12" s="35">
        <v>1</v>
      </c>
      <c r="B12" s="36" t="s">
        <v>49</v>
      </c>
      <c r="C12" s="24">
        <v>8016527</v>
      </c>
      <c r="D12" s="37">
        <v>10000</v>
      </c>
      <c r="E12" s="34">
        <f>SUM(F12:G12)</f>
        <v>5019.0204000000003</v>
      </c>
      <c r="F12" s="34">
        <f>328.64+99.928+57.724</f>
        <v>486.29199999999997</v>
      </c>
      <c r="G12" s="34">
        <f>1045.341+3487.3874</f>
        <v>4532.7284</v>
      </c>
      <c r="H12" s="34">
        <v>5019.0200000000004</v>
      </c>
      <c r="I12" s="67">
        <f>D12-E12</f>
        <v>4980.9795999999997</v>
      </c>
      <c r="J12" s="26" t="s">
        <v>57</v>
      </c>
      <c r="K12" s="10"/>
      <c r="L12" s="1">
        <f t="shared" si="1"/>
        <v>4980.9799999999996</v>
      </c>
      <c r="N12"/>
      <c r="O12"/>
      <c r="P12"/>
      <c r="Q12"/>
    </row>
    <row r="13" spans="1:17" s="16" customFormat="1" ht="15.75">
      <c r="A13" s="38" t="s">
        <v>14</v>
      </c>
      <c r="B13" s="39" t="s">
        <v>35</v>
      </c>
      <c r="C13" s="29"/>
      <c r="D13" s="25">
        <f t="shared" ref="D13:I13" si="3">SUM(D14:D20)</f>
        <v>96584.615999999995</v>
      </c>
      <c r="E13" s="25">
        <f t="shared" si="3"/>
        <v>89405.756679999991</v>
      </c>
      <c r="F13" s="25">
        <f t="shared" si="3"/>
        <v>480.80599999999998</v>
      </c>
      <c r="G13" s="25">
        <f t="shared" si="3"/>
        <v>88924.950679999994</v>
      </c>
      <c r="H13" s="25">
        <f t="shared" si="3"/>
        <v>91989.695000000007</v>
      </c>
      <c r="I13" s="25">
        <f t="shared" si="3"/>
        <v>6740.7513200000058</v>
      </c>
      <c r="J13" s="30"/>
      <c r="K13" s="10"/>
      <c r="L13" s="1">
        <f t="shared" si="1"/>
        <v>4594.9209999999875</v>
      </c>
      <c r="N13"/>
      <c r="O13"/>
      <c r="P13"/>
      <c r="Q13"/>
    </row>
    <row r="14" spans="1:17" s="16" customFormat="1" ht="31.5">
      <c r="A14" s="22">
        <v>1</v>
      </c>
      <c r="B14" s="40" t="s">
        <v>13</v>
      </c>
      <c r="C14" s="41"/>
      <c r="D14" s="42">
        <v>6172.7340000000004</v>
      </c>
      <c r="E14" s="34">
        <f>SUM(F14:G14)</f>
        <v>4556.9039999999995</v>
      </c>
      <c r="F14" s="42">
        <v>170.33799999999999</v>
      </c>
      <c r="G14" s="42">
        <v>4386.5659999999998</v>
      </c>
      <c r="H14" s="42">
        <v>6172.7340000000004</v>
      </c>
      <c r="I14" s="34">
        <f>D14-E14</f>
        <v>1615.8300000000008</v>
      </c>
      <c r="J14" s="26" t="s">
        <v>57</v>
      </c>
      <c r="K14" s="10"/>
      <c r="L14" s="1">
        <f t="shared" si="1"/>
        <v>0</v>
      </c>
      <c r="N14"/>
      <c r="O14"/>
      <c r="P14"/>
      <c r="Q14"/>
    </row>
    <row r="15" spans="1:17" s="16" customFormat="1" ht="31.5">
      <c r="A15" s="22">
        <v>2</v>
      </c>
      <c r="B15" s="17" t="s">
        <v>54</v>
      </c>
      <c r="C15" s="24"/>
      <c r="D15" s="18">
        <v>276.541</v>
      </c>
      <c r="E15" s="18">
        <v>251.852</v>
      </c>
      <c r="F15" s="18">
        <v>251.852</v>
      </c>
      <c r="G15" s="42"/>
      <c r="H15" s="18">
        <v>251.852</v>
      </c>
      <c r="I15" s="34">
        <f>D15-E15</f>
        <v>24.688999999999993</v>
      </c>
      <c r="J15" s="26" t="s">
        <v>62</v>
      </c>
      <c r="K15" s="10"/>
      <c r="L15" s="1">
        <f t="shared" si="1"/>
        <v>24.688999999999993</v>
      </c>
      <c r="N15"/>
      <c r="O15"/>
      <c r="P15"/>
      <c r="Q15"/>
    </row>
    <row r="16" spans="1:17" s="16" customFormat="1" ht="31.5">
      <c r="A16" s="22">
        <v>3</v>
      </c>
      <c r="B16" s="20" t="s">
        <v>52</v>
      </c>
      <c r="C16" s="43"/>
      <c r="D16" s="44">
        <v>1000</v>
      </c>
      <c r="E16" s="45">
        <f>SUM(F16:G16)</f>
        <v>58.616</v>
      </c>
      <c r="F16" s="44">
        <v>58.616</v>
      </c>
      <c r="G16" s="44"/>
      <c r="H16" s="44">
        <v>58.616</v>
      </c>
      <c r="I16" s="45">
        <f>D16-E16</f>
        <v>941.38400000000001</v>
      </c>
      <c r="J16" s="46" t="s">
        <v>63</v>
      </c>
      <c r="K16" s="10"/>
      <c r="L16" s="1">
        <f t="shared" si="1"/>
        <v>941.38400000000001</v>
      </c>
      <c r="N16"/>
      <c r="O16"/>
      <c r="P16"/>
      <c r="Q16"/>
    </row>
    <row r="17" spans="1:17" s="16" customFormat="1" ht="63">
      <c r="A17" s="22">
        <v>4</v>
      </c>
      <c r="B17" s="40" t="s">
        <v>25</v>
      </c>
      <c r="C17" s="24">
        <v>7966799</v>
      </c>
      <c r="D17" s="34">
        <v>2540</v>
      </c>
      <c r="E17" s="47">
        <f>SUM(F17:G17)</f>
        <v>2068.7340000000004</v>
      </c>
      <c r="F17" s="34"/>
      <c r="G17" s="34">
        <f>1329.678+739.056</f>
        <v>2068.7340000000004</v>
      </c>
      <c r="H17" s="34">
        <f>2068.734+415.321+10.193+8.007+4.587</f>
        <v>2506.8420000000001</v>
      </c>
      <c r="I17" s="34">
        <f>D17-H17</f>
        <v>33.157999999999902</v>
      </c>
      <c r="J17" s="26" t="s">
        <v>61</v>
      </c>
      <c r="K17" s="10">
        <v>220.00800000000001</v>
      </c>
      <c r="L17" s="1">
        <f t="shared" si="1"/>
        <v>33.157999999999902</v>
      </c>
      <c r="N17"/>
      <c r="O17"/>
      <c r="P17"/>
      <c r="Q17"/>
    </row>
    <row r="18" spans="1:17" ht="63">
      <c r="A18" s="22">
        <v>5</v>
      </c>
      <c r="B18" s="48" t="s">
        <v>26</v>
      </c>
      <c r="C18" s="24">
        <v>8044300</v>
      </c>
      <c r="D18" s="34">
        <v>85537.100999999995</v>
      </c>
      <c r="E18" s="47">
        <f>SUM(F18:G18)</f>
        <v>81980.883999999991</v>
      </c>
      <c r="F18" s="49"/>
      <c r="G18" s="49">
        <f>38478.189+43502.695</f>
        <v>81980.883999999991</v>
      </c>
      <c r="H18" s="49">
        <v>81980.884000000005</v>
      </c>
      <c r="I18" s="67">
        <f>D18-E18</f>
        <v>3556.2170000000042</v>
      </c>
      <c r="J18" s="26" t="s">
        <v>51</v>
      </c>
      <c r="K18" s="10"/>
      <c r="L18" s="1">
        <f t="shared" si="1"/>
        <v>3556.2169999999896</v>
      </c>
    </row>
    <row r="19" spans="1:17" ht="31.5">
      <c r="A19" s="22">
        <v>6</v>
      </c>
      <c r="B19" s="50" t="s">
        <v>43</v>
      </c>
      <c r="C19" s="51">
        <v>7961338</v>
      </c>
      <c r="D19" s="52">
        <v>530</v>
      </c>
      <c r="E19" s="53"/>
      <c r="F19" s="52"/>
      <c r="G19" s="52"/>
      <c r="H19" s="52">
        <v>530</v>
      </c>
      <c r="I19" s="45">
        <f>D19-E19</f>
        <v>530</v>
      </c>
      <c r="J19" s="54" t="s">
        <v>58</v>
      </c>
      <c r="K19" s="11"/>
      <c r="L19" s="1">
        <f t="shared" si="1"/>
        <v>0</v>
      </c>
    </row>
    <row r="20" spans="1:17" s="16" customFormat="1" ht="47.25">
      <c r="A20" s="22">
        <v>7</v>
      </c>
      <c r="B20" s="55" t="s">
        <v>45</v>
      </c>
      <c r="C20" s="56"/>
      <c r="D20" s="57">
        <v>528.24</v>
      </c>
      <c r="E20" s="47">
        <f>SUM(F20:G20)</f>
        <v>488.76668000000001</v>
      </c>
      <c r="F20" s="42"/>
      <c r="G20" s="57">
        <f>435.692+53.07468</f>
        <v>488.76668000000001</v>
      </c>
      <c r="H20" s="57">
        <v>488.767</v>
      </c>
      <c r="I20" s="34">
        <f>D20-E20</f>
        <v>39.473320000000001</v>
      </c>
      <c r="J20" s="58" t="s">
        <v>59</v>
      </c>
      <c r="K20" s="7"/>
      <c r="L20" s="1">
        <f t="shared" si="1"/>
        <v>39.473000000000013</v>
      </c>
      <c r="N20"/>
      <c r="O20"/>
      <c r="P20"/>
      <c r="Q20"/>
    </row>
    <row r="21" spans="1:17" s="16" customFormat="1" ht="21" customHeight="1">
      <c r="A21" s="59" t="s">
        <v>47</v>
      </c>
      <c r="B21" s="60" t="s">
        <v>46</v>
      </c>
      <c r="C21" s="61"/>
      <c r="D21" s="62">
        <f>D22+D23</f>
        <v>8519.1560000000009</v>
      </c>
      <c r="E21" s="62">
        <f>E22+E23</f>
        <v>6206.9949999999999</v>
      </c>
      <c r="F21" s="62">
        <f>F22+F23</f>
        <v>5926.9949999999999</v>
      </c>
      <c r="G21" s="59">
        <f>G22</f>
        <v>0</v>
      </c>
      <c r="H21" s="62">
        <f>H22+H23</f>
        <v>6206.9949999999999</v>
      </c>
      <c r="I21" s="62">
        <f>I22+I23</f>
        <v>2312.1610000000001</v>
      </c>
      <c r="J21" s="59">
        <f>J22</f>
        <v>0</v>
      </c>
      <c r="K21" s="7"/>
      <c r="L21" s="1">
        <f t="shared" si="1"/>
        <v>2312.161000000001</v>
      </c>
      <c r="N21"/>
      <c r="O21"/>
      <c r="P21"/>
      <c r="Q21"/>
    </row>
    <row r="22" spans="1:17" s="16" customFormat="1" ht="32.450000000000003" customHeight="1">
      <c r="A22" s="63">
        <v>1</v>
      </c>
      <c r="B22" s="64" t="s">
        <v>48</v>
      </c>
      <c r="C22" s="65"/>
      <c r="D22" s="57">
        <v>7419.5510000000004</v>
      </c>
      <c r="E22" s="47">
        <f>SUM(F22:G22)</f>
        <v>5842.7280000000001</v>
      </c>
      <c r="F22" s="66">
        <f>620.737+1806.899+1741.476+1673.616</f>
        <v>5842.7280000000001</v>
      </c>
      <c r="G22" s="66"/>
      <c r="H22" s="66">
        <v>5842.7280000000001</v>
      </c>
      <c r="I22" s="34">
        <f>D22-E22</f>
        <v>1576.8230000000003</v>
      </c>
      <c r="J22" s="63"/>
      <c r="K22" s="7"/>
      <c r="L22" s="1">
        <f t="shared" si="1"/>
        <v>1576.8230000000003</v>
      </c>
      <c r="N22"/>
      <c r="O22"/>
      <c r="P22"/>
      <c r="Q22"/>
    </row>
    <row r="23" spans="1:17" s="16" customFormat="1" ht="29.45" customHeight="1">
      <c r="A23" s="69">
        <v>2</v>
      </c>
      <c r="B23" s="70" t="s">
        <v>60</v>
      </c>
      <c r="C23" s="71"/>
      <c r="D23" s="69">
        <v>1099.605</v>
      </c>
      <c r="E23" s="53">
        <f>SUM(F23:G23)</f>
        <v>364.267</v>
      </c>
      <c r="F23" s="72">
        <v>84.266999999999996</v>
      </c>
      <c r="G23" s="72">
        <v>280</v>
      </c>
      <c r="H23" s="72">
        <v>364.267</v>
      </c>
      <c r="I23" s="45">
        <f>D23-E23</f>
        <v>735.33799999999997</v>
      </c>
      <c r="J23" s="69"/>
      <c r="K23" s="7"/>
      <c r="L23" s="1">
        <f t="shared" si="1"/>
        <v>735.33799999999997</v>
      </c>
      <c r="N23"/>
      <c r="O23"/>
      <c r="P23"/>
      <c r="Q23"/>
    </row>
  </sheetData>
  <mergeCells count="14">
    <mergeCell ref="J5:J7"/>
    <mergeCell ref="K5:K7"/>
    <mergeCell ref="E6:E7"/>
    <mergeCell ref="F6:G6"/>
    <mergeCell ref="A1:J1"/>
    <mergeCell ref="A2:J2"/>
    <mergeCell ref="A3:J3"/>
    <mergeCell ref="A5:A7"/>
    <mergeCell ref="B5:B7"/>
    <mergeCell ref="C5:C6"/>
    <mergeCell ref="D5:D7"/>
    <mergeCell ref="E5:G5"/>
    <mergeCell ref="H5:H7"/>
    <mergeCell ref="I5:I7"/>
  </mergeCells>
  <pageMargins left="0.33" right="0.2" top="0.2" bottom="0.33"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BIEU TH</vt:lpstr>
      <vt:lpstr>BIEU CHI TIET - STC</vt:lpstr>
      <vt:lpstr>BIEU CHI TIET</vt:lpstr>
      <vt:lpstr>Vốn SN (mang tính chât đầu tư)</vt:lpstr>
      <vt:lpstr>CHI TIET (2)</vt:lpstr>
      <vt:lpstr>'BIEU CHI TIET'!Print_Area</vt:lpstr>
      <vt:lpstr>'BIEU CHI TIET - STC'!Print_Area</vt:lpstr>
      <vt:lpstr>'BIEU TH'!Print_Area</vt:lpstr>
      <vt:lpstr>'BIEU CHI TIET'!Print_Titles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10</dc:creator>
  <cp:lastModifiedBy>thuanlamquoc@gmail.com</cp:lastModifiedBy>
  <cp:lastPrinted>2024-09-16T02:34:53Z</cp:lastPrinted>
  <dcterms:created xsi:type="dcterms:W3CDTF">2023-01-12T01:07:53Z</dcterms:created>
  <dcterms:modified xsi:type="dcterms:W3CDTF">2024-09-16T03:03:01Z</dcterms:modified>
</cp:coreProperties>
</file>